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02"/>
  <workbookPr codeName="ThisWorkbook" defaultThemeVersion="124226"/>
  <mc:AlternateContent xmlns:mc="http://schemas.openxmlformats.org/markup-compatibility/2006">
    <mc:Choice Requires="x15">
      <x15ac:absPath xmlns:x15ac="http://schemas.microsoft.com/office/spreadsheetml/2010/11/ac" url="https://undp-my.sharepoint.com/personal/claire_adrien_undp_org/Documents/AD HOC/"/>
    </mc:Choice>
  </mc:AlternateContent>
  <xr:revisionPtr revIDLastSave="9" documentId="8_{78739692-5D07-4F92-BEE2-B468144ADAA6}" xr6:coauthVersionLast="47" xr6:coauthVersionMax="47" xr10:uidLastSave="{E121F5F6-B2A6-4880-8B2B-35C2B00DB348}"/>
  <bookViews>
    <workbookView xWindow="-120" yWindow="-120" windowWidth="20640" windowHeight="11160" firstSheet="1" activeTab="1" xr2:uid="{00000000-000D-0000-FFFF-FFFF00000000}"/>
  </bookViews>
  <sheets>
    <sheet name="Detailed cash flow projection" sheetId="5" r:id="rId1"/>
    <sheet name="Summarized weekly projection" sheetId="1" r:id="rId2"/>
    <sheet name="Proportional allocation" sheetId="6"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6" i="5" l="1"/>
  <c r="F9" i="5"/>
  <c r="Q68" i="5"/>
  <c r="N68" i="5"/>
  <c r="K68" i="5"/>
  <c r="H68" i="5"/>
  <c r="E68" i="5"/>
  <c r="P40" i="1"/>
  <c r="O39" i="1"/>
  <c r="M40" i="1"/>
  <c r="L39" i="1"/>
  <c r="J40" i="1"/>
  <c r="I39" i="1"/>
  <c r="G40" i="1"/>
  <c r="F39" i="1"/>
  <c r="D40" i="1"/>
  <c r="C39" i="1"/>
  <c r="P37" i="1"/>
  <c r="O37" i="1"/>
  <c r="M37" i="1"/>
  <c r="L37" i="1"/>
  <c r="J37" i="1"/>
  <c r="I37" i="1"/>
  <c r="G37" i="1"/>
  <c r="F37" i="1"/>
  <c r="D37" i="1"/>
  <c r="C37" i="1"/>
  <c r="Q66" i="5"/>
  <c r="Q37" i="1" s="1"/>
  <c r="S66" i="5"/>
  <c r="S37" i="1" s="1"/>
  <c r="S69" i="5"/>
  <c r="S40" i="1" s="1"/>
  <c r="R68" i="5"/>
  <c r="R39" i="1" s="1"/>
  <c r="G59" i="5"/>
  <c r="F59" i="5"/>
  <c r="E66" i="5"/>
  <c r="E37" i="1" s="1"/>
  <c r="T68" i="5" l="1"/>
  <c r="H10" i="6"/>
  <c r="I10" i="6"/>
  <c r="H11" i="6"/>
  <c r="I11" i="6"/>
  <c r="H12" i="6"/>
  <c r="I12" i="6"/>
  <c r="H13" i="6"/>
  <c r="I13" i="6"/>
  <c r="H14" i="6"/>
  <c r="I14" i="6"/>
  <c r="H15" i="6"/>
  <c r="I15" i="6"/>
  <c r="E16" i="6"/>
  <c r="H19" i="6"/>
  <c r="I19" i="6"/>
  <c r="H20" i="6"/>
  <c r="I20" i="6"/>
  <c r="E21" i="6"/>
  <c r="H23" i="6"/>
  <c r="I23" i="6"/>
  <c r="H26" i="6"/>
  <c r="I26" i="6"/>
  <c r="H27" i="6"/>
  <c r="I27" i="6"/>
  <c r="H28" i="6"/>
  <c r="I28" i="6"/>
  <c r="H29" i="6"/>
  <c r="I29" i="6"/>
  <c r="E30" i="6"/>
  <c r="H34" i="6"/>
  <c r="I34" i="6"/>
  <c r="H37" i="6"/>
  <c r="E70" i="5"/>
  <c r="E71" i="5" s="1"/>
  <c r="N39" i="1"/>
  <c r="D7" i="1"/>
  <c r="C7" i="1"/>
  <c r="D6" i="1"/>
  <c r="C9" i="1"/>
  <c r="C6" i="1"/>
  <c r="D3" i="1"/>
  <c r="C3" i="1"/>
  <c r="Q26" i="1"/>
  <c r="N26" i="1"/>
  <c r="K26" i="1"/>
  <c r="H26" i="1"/>
  <c r="E39" i="1"/>
  <c r="E26" i="1"/>
  <c r="H39" i="1"/>
  <c r="Q39" i="1"/>
  <c r="R22" i="5"/>
  <c r="R19" i="5"/>
  <c r="R18" i="5"/>
  <c r="R17" i="5"/>
  <c r="T54" i="5"/>
  <c r="T26" i="1" s="1"/>
  <c r="Q52" i="5"/>
  <c r="Q51" i="5"/>
  <c r="Q50" i="5"/>
  <c r="Q49" i="5"/>
  <c r="Q45" i="5"/>
  <c r="Q43" i="5"/>
  <c r="Q42" i="5"/>
  <c r="Q41" i="5"/>
  <c r="Q40" i="5"/>
  <c r="Q39" i="5"/>
  <c r="Q36" i="5"/>
  <c r="Q23" i="1" s="1"/>
  <c r="Q33" i="5"/>
  <c r="Q32" i="5"/>
  <c r="Q31" i="5"/>
  <c r="Q30" i="5"/>
  <c r="Q22" i="5"/>
  <c r="Q17" i="1" s="1"/>
  <c r="Q19" i="5"/>
  <c r="Q18" i="5"/>
  <c r="Q17" i="5"/>
  <c r="Q16" i="5"/>
  <c r="N52" i="5"/>
  <c r="N51" i="5"/>
  <c r="N50" i="5"/>
  <c r="N49" i="5"/>
  <c r="N43" i="5"/>
  <c r="N42" i="5"/>
  <c r="N41" i="5"/>
  <c r="N40" i="5"/>
  <c r="N38" i="5"/>
  <c r="N36" i="5"/>
  <c r="N23" i="1" s="1"/>
  <c r="N33" i="5"/>
  <c r="N32" i="5"/>
  <c r="N31" i="5"/>
  <c r="N30" i="5"/>
  <c r="N22" i="5"/>
  <c r="N17" i="1" s="1"/>
  <c r="N19" i="5"/>
  <c r="N18" i="5"/>
  <c r="N17" i="5"/>
  <c r="N16" i="5"/>
  <c r="K52" i="5"/>
  <c r="K51" i="5"/>
  <c r="K50" i="5"/>
  <c r="K49" i="5"/>
  <c r="K45" i="5"/>
  <c r="K42" i="5"/>
  <c r="K41" i="5"/>
  <c r="K40" i="5"/>
  <c r="K39" i="5"/>
  <c r="K38" i="5"/>
  <c r="K36" i="5"/>
  <c r="K23" i="1" s="1"/>
  <c r="K33" i="5"/>
  <c r="K32" i="5"/>
  <c r="K31" i="5"/>
  <c r="K30" i="5"/>
  <c r="K22" i="5"/>
  <c r="K17" i="1" s="1"/>
  <c r="K19" i="5"/>
  <c r="K18" i="5"/>
  <c r="K17" i="5"/>
  <c r="K16" i="5"/>
  <c r="H52" i="5"/>
  <c r="H51" i="5"/>
  <c r="H50" i="5"/>
  <c r="H49" i="5"/>
  <c r="H43" i="5"/>
  <c r="H41" i="5"/>
  <c r="H40" i="5"/>
  <c r="H38" i="5"/>
  <c r="H36" i="5"/>
  <c r="H23" i="1" s="1"/>
  <c r="H33" i="5"/>
  <c r="H32" i="5"/>
  <c r="H31" i="5"/>
  <c r="H30" i="5"/>
  <c r="H22" i="5"/>
  <c r="H17" i="1" s="1"/>
  <c r="H19" i="5"/>
  <c r="H18" i="5"/>
  <c r="H17" i="5"/>
  <c r="H16" i="5"/>
  <c r="K39" i="1"/>
  <c r="E52" i="5"/>
  <c r="E51" i="5"/>
  <c r="E50" i="5"/>
  <c r="E49" i="5"/>
  <c r="E45" i="5"/>
  <c r="E43" i="5"/>
  <c r="E42" i="5"/>
  <c r="E39" i="5"/>
  <c r="E38" i="5"/>
  <c r="E36" i="5"/>
  <c r="E33" i="5"/>
  <c r="E32" i="5"/>
  <c r="E31" i="5"/>
  <c r="E30" i="5"/>
  <c r="E22" i="5"/>
  <c r="E17" i="1" s="1"/>
  <c r="E19" i="5"/>
  <c r="E17" i="5"/>
  <c r="E16" i="5"/>
  <c r="E32" i="6" l="1"/>
  <c r="T30" i="5"/>
  <c r="T36" i="5"/>
  <c r="T23" i="1" s="1"/>
  <c r="I30" i="6"/>
  <c r="H30" i="6"/>
  <c r="I16" i="6"/>
  <c r="H16" i="6"/>
  <c r="H21" i="6"/>
  <c r="I21" i="6"/>
  <c r="T50" i="5"/>
  <c r="E23" i="1"/>
  <c r="T52" i="5"/>
  <c r="T49" i="5"/>
  <c r="H70" i="5"/>
  <c r="T19" i="5"/>
  <c r="T32" i="5"/>
  <c r="T22" i="5"/>
  <c r="T17" i="1" s="1"/>
  <c r="T33" i="5"/>
  <c r="T17" i="5"/>
  <c r="T16" i="5"/>
  <c r="T31" i="5"/>
  <c r="T51" i="5"/>
  <c r="L34" i="5"/>
  <c r="L39" i="5"/>
  <c r="L44" i="5"/>
  <c r="L45" i="5"/>
  <c r="L46" i="5"/>
  <c r="L53" i="5"/>
  <c r="F34" i="5"/>
  <c r="F39" i="5"/>
  <c r="F42" i="5"/>
  <c r="F44" i="5"/>
  <c r="F45" i="5"/>
  <c r="F46" i="5"/>
  <c r="F53" i="5"/>
  <c r="F20" i="5"/>
  <c r="F24" i="5"/>
  <c r="C34" i="5"/>
  <c r="C40" i="5"/>
  <c r="C41" i="5"/>
  <c r="C44" i="5"/>
  <c r="C46" i="5"/>
  <c r="C53" i="5"/>
  <c r="C20" i="5"/>
  <c r="C24" i="5"/>
  <c r="C59" i="5"/>
  <c r="G34" i="5"/>
  <c r="G39" i="5"/>
  <c r="G42" i="5"/>
  <c r="G44" i="5"/>
  <c r="G45" i="5"/>
  <c r="G46" i="5"/>
  <c r="G53" i="5"/>
  <c r="G25" i="1" s="1"/>
  <c r="G20" i="5"/>
  <c r="G24" i="5"/>
  <c r="G18" i="1" s="1"/>
  <c r="D34" i="5"/>
  <c r="D40" i="5"/>
  <c r="D41" i="5"/>
  <c r="D44" i="5"/>
  <c r="D46" i="5"/>
  <c r="D53" i="5"/>
  <c r="D25" i="1" s="1"/>
  <c r="D18" i="5"/>
  <c r="D24" i="5"/>
  <c r="D18" i="1" s="1"/>
  <c r="D59" i="5"/>
  <c r="I34" i="5"/>
  <c r="I43" i="5"/>
  <c r="I46" i="5"/>
  <c r="I53" i="5"/>
  <c r="I20" i="5"/>
  <c r="I24" i="5"/>
  <c r="J34" i="5"/>
  <c r="J43" i="5"/>
  <c r="J44" i="5"/>
  <c r="K44" i="5" s="1"/>
  <c r="J46" i="5"/>
  <c r="J53" i="5"/>
  <c r="J25" i="1" s="1"/>
  <c r="J20" i="5"/>
  <c r="J24" i="5"/>
  <c r="J18" i="1" s="1"/>
  <c r="L20" i="5"/>
  <c r="L24" i="5"/>
  <c r="M34" i="5"/>
  <c r="M39" i="5"/>
  <c r="M44" i="5"/>
  <c r="M45" i="5"/>
  <c r="M46" i="5"/>
  <c r="M53" i="5"/>
  <c r="M25" i="1" s="1"/>
  <c r="M20" i="5"/>
  <c r="M24" i="5"/>
  <c r="M18" i="1" s="1"/>
  <c r="O34" i="5"/>
  <c r="O38" i="5"/>
  <c r="O44" i="5"/>
  <c r="O46" i="5"/>
  <c r="O53" i="5"/>
  <c r="O20" i="5"/>
  <c r="O24" i="5"/>
  <c r="P34" i="5"/>
  <c r="P38" i="5"/>
  <c r="P44" i="5"/>
  <c r="P46" i="5"/>
  <c r="P53" i="5"/>
  <c r="P25" i="1" s="1"/>
  <c r="P20" i="5"/>
  <c r="P24" i="5"/>
  <c r="P18" i="1" s="1"/>
  <c r="R47" i="5"/>
  <c r="R24" i="1" s="1"/>
  <c r="S47" i="5"/>
  <c r="S24" i="1" s="1"/>
  <c r="R49" i="5"/>
  <c r="R50" i="5"/>
  <c r="R51" i="5"/>
  <c r="R52" i="5"/>
  <c r="S49" i="5"/>
  <c r="S50" i="5"/>
  <c r="S51" i="5"/>
  <c r="S52" i="5"/>
  <c r="R17" i="1"/>
  <c r="S22" i="5"/>
  <c r="S17" i="1" s="1"/>
  <c r="R54" i="5"/>
  <c r="R26" i="1" s="1"/>
  <c r="S54" i="5"/>
  <c r="S26" i="1" s="1"/>
  <c r="S17" i="5"/>
  <c r="S19" i="5"/>
  <c r="R30" i="5"/>
  <c r="S30" i="5"/>
  <c r="R31" i="5"/>
  <c r="S31" i="5"/>
  <c r="R32" i="5"/>
  <c r="S32" i="5"/>
  <c r="R33" i="5"/>
  <c r="S33" i="5"/>
  <c r="R36" i="5"/>
  <c r="R23" i="1" s="1"/>
  <c r="S36" i="5"/>
  <c r="S23" i="1" s="1"/>
  <c r="S16" i="5"/>
  <c r="R16" i="5"/>
  <c r="B41" i="1"/>
  <c r="B31" i="1"/>
  <c r="B33" i="1"/>
  <c r="B39" i="1"/>
  <c r="B35" i="1"/>
  <c r="B42" i="1"/>
  <c r="B30" i="1"/>
  <c r="D23" i="1"/>
  <c r="D26" i="1"/>
  <c r="F23" i="1"/>
  <c r="F26" i="1"/>
  <c r="G23" i="1"/>
  <c r="G26" i="1"/>
  <c r="I23" i="1"/>
  <c r="I26" i="1"/>
  <c r="J23" i="1"/>
  <c r="J26" i="1"/>
  <c r="L23" i="1"/>
  <c r="L26" i="1"/>
  <c r="M23" i="1"/>
  <c r="M26" i="1"/>
  <c r="O23" i="1"/>
  <c r="O26" i="1"/>
  <c r="P23" i="1"/>
  <c r="P26" i="1"/>
  <c r="C23" i="1"/>
  <c r="C26" i="1"/>
  <c r="D17" i="1"/>
  <c r="F17" i="1"/>
  <c r="G17" i="1"/>
  <c r="I17" i="1"/>
  <c r="J17" i="1"/>
  <c r="L17" i="1"/>
  <c r="M17" i="1"/>
  <c r="O17" i="1"/>
  <c r="P17" i="1"/>
  <c r="C17" i="1"/>
  <c r="J22" i="1" l="1"/>
  <c r="G22" i="1"/>
  <c r="L26" i="5"/>
  <c r="O26" i="5"/>
  <c r="I26" i="5"/>
  <c r="M16" i="1"/>
  <c r="M19" i="1" s="1"/>
  <c r="M26" i="5"/>
  <c r="G16" i="1"/>
  <c r="G19" i="1" s="1"/>
  <c r="G26" i="5"/>
  <c r="P26" i="5"/>
  <c r="M22" i="1"/>
  <c r="J26" i="5"/>
  <c r="C26" i="5"/>
  <c r="F26" i="5"/>
  <c r="I32" i="6"/>
  <c r="H32" i="6"/>
  <c r="K70" i="5"/>
  <c r="H71" i="5"/>
  <c r="R24" i="5"/>
  <c r="R18" i="1" s="1"/>
  <c r="Q38" i="5"/>
  <c r="T38" i="5" s="1"/>
  <c r="K43" i="5"/>
  <c r="T43" i="5" s="1"/>
  <c r="R20" i="5"/>
  <c r="R16" i="1" s="1"/>
  <c r="E41" i="5"/>
  <c r="T41" i="5" s="1"/>
  <c r="Q34" i="5"/>
  <c r="H46" i="5"/>
  <c r="H39" i="5"/>
  <c r="N45" i="5"/>
  <c r="Q44" i="5"/>
  <c r="K46" i="5"/>
  <c r="H45" i="5"/>
  <c r="O16" i="1"/>
  <c r="Q20" i="5"/>
  <c r="I18" i="1"/>
  <c r="K24" i="5"/>
  <c r="K18" i="1" s="1"/>
  <c r="N44" i="5"/>
  <c r="O25" i="1"/>
  <c r="Q53" i="5"/>
  <c r="Q25" i="1" s="1"/>
  <c r="K20" i="5"/>
  <c r="I22" i="1"/>
  <c r="K34" i="5"/>
  <c r="F16" i="1"/>
  <c r="H20" i="5"/>
  <c r="H44" i="5"/>
  <c r="L25" i="1"/>
  <c r="N53" i="5"/>
  <c r="N25" i="1" s="1"/>
  <c r="N39" i="5"/>
  <c r="O18" i="1"/>
  <c r="Q24" i="5"/>
  <c r="Q18" i="1" s="1"/>
  <c r="N20" i="5"/>
  <c r="F18" i="1"/>
  <c r="H24" i="5"/>
  <c r="H18" i="1" s="1"/>
  <c r="F22" i="1"/>
  <c r="H34" i="5"/>
  <c r="Q46" i="5"/>
  <c r="L18" i="1"/>
  <c r="N24" i="5"/>
  <c r="N18" i="1" s="1"/>
  <c r="I25" i="1"/>
  <c r="K53" i="5"/>
  <c r="K25" i="1" s="1"/>
  <c r="F25" i="1"/>
  <c r="H53" i="5"/>
  <c r="H25" i="1" s="1"/>
  <c r="H42" i="5"/>
  <c r="T42" i="5" s="1"/>
  <c r="N46" i="5"/>
  <c r="L22" i="1"/>
  <c r="N34" i="5"/>
  <c r="I47" i="5"/>
  <c r="I56" i="5" s="1"/>
  <c r="E44" i="5"/>
  <c r="C25" i="1"/>
  <c r="E53" i="5"/>
  <c r="E25" i="1" s="1"/>
  <c r="E40" i="5"/>
  <c r="C18" i="1"/>
  <c r="E24" i="5"/>
  <c r="E18" i="1" s="1"/>
  <c r="C16" i="1"/>
  <c r="D20" i="5"/>
  <c r="D16" i="1" s="1"/>
  <c r="D19" i="1" s="1"/>
  <c r="E18" i="5"/>
  <c r="E59" i="5"/>
  <c r="E46" i="5"/>
  <c r="C22" i="1"/>
  <c r="E34" i="5"/>
  <c r="S18" i="5"/>
  <c r="D30" i="1"/>
  <c r="S59" i="5"/>
  <c r="S30" i="1" s="1"/>
  <c r="C30" i="1"/>
  <c r="R59" i="5"/>
  <c r="R30" i="1" s="1"/>
  <c r="G47" i="5"/>
  <c r="G24" i="1" s="1"/>
  <c r="P47" i="5"/>
  <c r="P24" i="1" s="1"/>
  <c r="R53" i="5"/>
  <c r="R25" i="1" s="1"/>
  <c r="S53" i="5"/>
  <c r="S25" i="1" s="1"/>
  <c r="F47" i="5"/>
  <c r="F56" i="5" s="1"/>
  <c r="J47" i="5"/>
  <c r="J56" i="5" s="1"/>
  <c r="S24" i="5"/>
  <c r="S18" i="1" s="1"/>
  <c r="J16" i="1"/>
  <c r="J19" i="1" s="1"/>
  <c r="O47" i="5"/>
  <c r="O56" i="5" s="1"/>
  <c r="M47" i="5"/>
  <c r="M24" i="1" s="1"/>
  <c r="C47" i="5"/>
  <c r="C56" i="5" s="1"/>
  <c r="D47" i="5"/>
  <c r="D24" i="1" s="1"/>
  <c r="S34" i="5"/>
  <c r="P22" i="1"/>
  <c r="D22" i="1"/>
  <c r="L47" i="5"/>
  <c r="L56" i="5" s="1"/>
  <c r="R34" i="5"/>
  <c r="I16" i="1"/>
  <c r="O22" i="1"/>
  <c r="P16" i="1"/>
  <c r="P19" i="1" s="1"/>
  <c r="L16" i="1"/>
  <c r="G56" i="5" l="1"/>
  <c r="M27" i="1"/>
  <c r="M29" i="1" s="1"/>
  <c r="R22" i="1"/>
  <c r="R56" i="5"/>
  <c r="T18" i="5"/>
  <c r="H16" i="1"/>
  <c r="H19" i="1" s="1"/>
  <c r="H26" i="5"/>
  <c r="K16" i="1"/>
  <c r="K19" i="1" s="1"/>
  <c r="K26" i="5"/>
  <c r="S22" i="1"/>
  <c r="S27" i="1" s="1"/>
  <c r="S56" i="5"/>
  <c r="H22" i="1"/>
  <c r="N22" i="1"/>
  <c r="K22" i="1"/>
  <c r="Q22" i="1"/>
  <c r="P56" i="5"/>
  <c r="P58" i="5" s="1"/>
  <c r="E22" i="1"/>
  <c r="N16" i="1"/>
  <c r="N19" i="1" s="1"/>
  <c r="N26" i="5"/>
  <c r="M56" i="5"/>
  <c r="M58" i="5" s="1"/>
  <c r="D26" i="5"/>
  <c r="G27" i="1"/>
  <c r="G29" i="1" s="1"/>
  <c r="Q16" i="1"/>
  <c r="Q19" i="1" s="1"/>
  <c r="Q26" i="5"/>
  <c r="D56" i="5"/>
  <c r="R26" i="5"/>
  <c r="O19" i="1"/>
  <c r="T44" i="5"/>
  <c r="T45" i="5"/>
  <c r="T59" i="5"/>
  <c r="T30" i="1" s="1"/>
  <c r="E30" i="1"/>
  <c r="N70" i="5"/>
  <c r="K71" i="5"/>
  <c r="L19" i="1"/>
  <c r="F19" i="1"/>
  <c r="C19" i="1"/>
  <c r="T39" i="5"/>
  <c r="G58" i="5"/>
  <c r="T40" i="5"/>
  <c r="T46" i="5"/>
  <c r="O24" i="1"/>
  <c r="O27" i="1" s="1"/>
  <c r="Q47" i="5"/>
  <c r="Q56" i="5" s="1"/>
  <c r="E41" i="1"/>
  <c r="T53" i="5"/>
  <c r="T25" i="1" s="1"/>
  <c r="H47" i="5"/>
  <c r="H56" i="5" s="1"/>
  <c r="T24" i="5"/>
  <c r="I24" i="1"/>
  <c r="I27" i="1" s="1"/>
  <c r="K47" i="5"/>
  <c r="K56" i="5" s="1"/>
  <c r="I19" i="1"/>
  <c r="N47" i="5"/>
  <c r="N56" i="5" s="1"/>
  <c r="T34" i="5"/>
  <c r="E20" i="5"/>
  <c r="E26" i="5" s="1"/>
  <c r="C24" i="1"/>
  <c r="C27" i="1" s="1"/>
  <c r="E47" i="5"/>
  <c r="E56" i="5" s="1"/>
  <c r="S20" i="5"/>
  <c r="S26" i="5" s="1"/>
  <c r="R27" i="1"/>
  <c r="P27" i="1"/>
  <c r="P29" i="1" s="1"/>
  <c r="J58" i="5"/>
  <c r="L24" i="1"/>
  <c r="L27" i="1" s="1"/>
  <c r="I58" i="5"/>
  <c r="R19" i="1"/>
  <c r="F58" i="5"/>
  <c r="J24" i="1"/>
  <c r="J27" i="1" s="1"/>
  <c r="J29" i="1" s="1"/>
  <c r="D27" i="1"/>
  <c r="D29" i="1" s="1"/>
  <c r="F24" i="1"/>
  <c r="F27" i="1" s="1"/>
  <c r="O29" i="1" l="1"/>
  <c r="T22" i="1"/>
  <c r="F29" i="1"/>
  <c r="N24" i="1"/>
  <c r="N27" i="1" s="1"/>
  <c r="N29" i="1" s="1"/>
  <c r="T18" i="1"/>
  <c r="E24" i="1"/>
  <c r="E27" i="1" s="1"/>
  <c r="H24" i="1"/>
  <c r="H27" i="1" s="1"/>
  <c r="H29" i="1" s="1"/>
  <c r="T20" i="5"/>
  <c r="T16" i="1" s="1"/>
  <c r="E16" i="1"/>
  <c r="E19" i="1" s="1"/>
  <c r="K24" i="1"/>
  <c r="K27" i="1" s="1"/>
  <c r="K29" i="1" s="1"/>
  <c r="Q24" i="1"/>
  <c r="Q27" i="1" s="1"/>
  <c r="Q29" i="1" s="1"/>
  <c r="N71" i="5"/>
  <c r="Q70" i="5"/>
  <c r="Q71" i="5" s="1"/>
  <c r="T71" i="5"/>
  <c r="T42" i="1" s="1"/>
  <c r="T39" i="1"/>
  <c r="L29" i="1"/>
  <c r="I29" i="1"/>
  <c r="C29" i="1"/>
  <c r="K58" i="5"/>
  <c r="H58" i="5"/>
  <c r="O58" i="5"/>
  <c r="Q58" i="5" s="1"/>
  <c r="E42" i="1"/>
  <c r="H41" i="1"/>
  <c r="S16" i="1"/>
  <c r="S19" i="1" s="1"/>
  <c r="S29" i="1" s="1"/>
  <c r="L58" i="5"/>
  <c r="N58" i="5" s="1"/>
  <c r="T47" i="5"/>
  <c r="T56" i="5" s="1"/>
  <c r="C58" i="5"/>
  <c r="R29" i="1"/>
  <c r="D58" i="5"/>
  <c r="D60" i="5" s="1"/>
  <c r="D62" i="5" s="1"/>
  <c r="D64" i="5" s="1"/>
  <c r="T26" i="5" l="1"/>
  <c r="E29" i="1"/>
  <c r="T24" i="1"/>
  <c r="T27" i="1" s="1"/>
  <c r="T19" i="1"/>
  <c r="R58" i="5"/>
  <c r="H42" i="1"/>
  <c r="K41" i="1"/>
  <c r="D33" i="1"/>
  <c r="E58" i="5"/>
  <c r="T58" i="5" s="1"/>
  <c r="T60" i="5" s="1"/>
  <c r="T31" i="1" s="1"/>
  <c r="C60" i="5"/>
  <c r="C62" i="5" s="1"/>
  <c r="E62" i="5" s="1"/>
  <c r="E33" i="1" s="1"/>
  <c r="S58" i="5"/>
  <c r="D31" i="1"/>
  <c r="T29" i="1" l="1"/>
  <c r="N41" i="1"/>
  <c r="K42" i="1"/>
  <c r="C64" i="5"/>
  <c r="E64" i="5" s="1"/>
  <c r="E35" i="1" s="1"/>
  <c r="C31" i="1"/>
  <c r="E60" i="5"/>
  <c r="E31" i="1" s="1"/>
  <c r="C33" i="1"/>
  <c r="N42" i="1" l="1"/>
  <c r="Q41" i="1"/>
  <c r="D35" i="1"/>
  <c r="H59" i="5"/>
  <c r="H30" i="1" s="1"/>
  <c r="C35" i="1"/>
  <c r="G30" i="1"/>
  <c r="G60" i="5"/>
  <c r="G62" i="5" l="1"/>
  <c r="J59" i="5"/>
  <c r="Q42" i="1"/>
  <c r="G31" i="1"/>
  <c r="F30" i="1"/>
  <c r="F60" i="5"/>
  <c r="I59" i="5" l="1"/>
  <c r="K59" i="5" s="1"/>
  <c r="H66" i="5"/>
  <c r="H37" i="1" s="1"/>
  <c r="H60" i="5"/>
  <c r="H31" i="1" s="1"/>
  <c r="F62" i="5"/>
  <c r="H62" i="5" s="1"/>
  <c r="H33" i="1" s="1"/>
  <c r="G64" i="5"/>
  <c r="G33" i="1"/>
  <c r="F31" i="1"/>
  <c r="F64" i="5" l="1"/>
  <c r="H64" i="5" s="1"/>
  <c r="H35" i="1" s="1"/>
  <c r="G35" i="1"/>
  <c r="J30" i="1"/>
  <c r="J60" i="5"/>
  <c r="F33" i="1"/>
  <c r="J62" i="5" l="1"/>
  <c r="M59" i="5"/>
  <c r="F35" i="1"/>
  <c r="K30" i="1"/>
  <c r="J31" i="1"/>
  <c r="J33" i="1" l="1"/>
  <c r="J64" i="5"/>
  <c r="I30" i="1"/>
  <c r="I60" i="5"/>
  <c r="L59" i="5" l="1"/>
  <c r="N59" i="5" s="1"/>
  <c r="K66" i="5"/>
  <c r="K37" i="1" s="1"/>
  <c r="I62" i="5"/>
  <c r="K60" i="5"/>
  <c r="K31" i="1" s="1"/>
  <c r="J35" i="1"/>
  <c r="I31" i="1"/>
  <c r="M30" i="1"/>
  <c r="M60" i="5"/>
  <c r="M62" i="5" l="1"/>
  <c r="M33" i="1" s="1"/>
  <c r="P59" i="5"/>
  <c r="I64" i="5"/>
  <c r="K64" i="5" s="1"/>
  <c r="K35" i="1" s="1"/>
  <c r="K62" i="5"/>
  <c r="K33" i="1" s="1"/>
  <c r="M31" i="1"/>
  <c r="I33" i="1"/>
  <c r="M64" i="5" l="1"/>
  <c r="M35" i="1" s="1"/>
  <c r="N30" i="1"/>
  <c r="I35" i="1"/>
  <c r="P30" i="1" l="1"/>
  <c r="L30" i="1"/>
  <c r="L60" i="5"/>
  <c r="L62" i="5" l="1"/>
  <c r="N62" i="5" s="1"/>
  <c r="N33" i="1" s="1"/>
  <c r="P60" i="5"/>
  <c r="N60" i="5"/>
  <c r="N31" i="1" s="1"/>
  <c r="L31" i="1"/>
  <c r="O59" i="5" l="1"/>
  <c r="Q59" i="5" s="1"/>
  <c r="N37" i="1"/>
  <c r="P62" i="5"/>
  <c r="S62" i="5" s="1"/>
  <c r="S33" i="1" s="1"/>
  <c r="S60" i="5"/>
  <c r="S31" i="1" s="1"/>
  <c r="P31" i="1"/>
  <c r="L64" i="5"/>
  <c r="N64" i="5" s="1"/>
  <c r="N35" i="1" s="1"/>
  <c r="L33" i="1"/>
  <c r="P33" i="1" l="1"/>
  <c r="P64" i="5"/>
  <c r="S64" i="5" s="1"/>
  <c r="S35" i="1" s="1"/>
  <c r="L35" i="1"/>
  <c r="Q30" i="1"/>
  <c r="P35" i="1" l="1"/>
  <c r="O30" i="1"/>
  <c r="O60" i="5"/>
  <c r="O62" i="5" l="1"/>
  <c r="R62" i="5" s="1"/>
  <c r="T62" i="5" s="1"/>
  <c r="Q60" i="5"/>
  <c r="Q31" i="1" s="1"/>
  <c r="O31" i="1"/>
  <c r="R60" i="5"/>
  <c r="Q62" i="5" l="1"/>
  <c r="Q33" i="1" s="1"/>
  <c r="R66" i="5"/>
  <c r="T64" i="5"/>
  <c r="T35" i="1" s="1"/>
  <c r="T33" i="1"/>
  <c r="O64" i="5"/>
  <c r="R31" i="1"/>
  <c r="O33" i="1"/>
  <c r="T66" i="5" l="1"/>
  <c r="R37" i="1"/>
  <c r="R64" i="5"/>
  <c r="R35" i="1" s="1"/>
  <c r="Q64" i="5"/>
  <c r="Q35" i="1" s="1"/>
  <c r="R33" i="1"/>
  <c r="O35" i="1"/>
  <c r="T37" i="1" l="1"/>
</calcChain>
</file>

<file path=xl/sharedStrings.xml><?xml version="1.0" encoding="utf-8"?>
<sst xmlns="http://schemas.openxmlformats.org/spreadsheetml/2006/main" count="368" uniqueCount="198">
  <si>
    <r>
      <t xml:space="preserve">UNDP </t>
    </r>
    <r>
      <rPr>
        <b/>
        <sz val="12"/>
        <color rgb="FF0070C0"/>
        <rFont val="Arial"/>
        <family val="2"/>
      </rPr>
      <t xml:space="preserve">[Country Office ] </t>
    </r>
    <r>
      <rPr>
        <b/>
        <sz val="12"/>
        <rFont val="Arial"/>
        <family val="2"/>
      </rPr>
      <t xml:space="preserve">Weekly Detailed Cashflow Projection Sheet </t>
    </r>
  </si>
  <si>
    <t>Financial parameters (to be updated monthly)</t>
  </si>
  <si>
    <t>Month</t>
  </si>
  <si>
    <t>Year</t>
  </si>
  <si>
    <t>Month and Year Projected</t>
  </si>
  <si>
    <t>December</t>
  </si>
  <si>
    <t>USD $</t>
  </si>
  <si>
    <t>LC</t>
  </si>
  <si>
    <t xml:space="preserve">UNDP Exchange Rate </t>
  </si>
  <si>
    <t>Opening Cashbook Balance</t>
  </si>
  <si>
    <t>Cahbook Bal Threshold</t>
  </si>
  <si>
    <t>Imprest Level (as determined by Treasury)</t>
  </si>
  <si>
    <t>Column 1</t>
  </si>
  <si>
    <t>Column 2</t>
  </si>
  <si>
    <t>Column 3</t>
  </si>
  <si>
    <t>Column 4</t>
  </si>
  <si>
    <t>Cash Flow Components</t>
  </si>
  <si>
    <t xml:space="preserve">Week 1 </t>
  </si>
  <si>
    <t>Week 2</t>
  </si>
  <si>
    <t>Week 3</t>
  </si>
  <si>
    <t>Week3</t>
  </si>
  <si>
    <t>Week 4</t>
  </si>
  <si>
    <t>Week4</t>
  </si>
  <si>
    <t>Week 5</t>
  </si>
  <si>
    <t>Monthly Total</t>
  </si>
  <si>
    <t>Timing of Cash Flow</t>
  </si>
  <si>
    <t>Local USD</t>
  </si>
  <si>
    <t>Local Curr.</t>
  </si>
  <si>
    <t>Total USD</t>
  </si>
  <si>
    <t>Inflows from Local Sources:</t>
  </si>
  <si>
    <t>A</t>
  </si>
  <si>
    <t xml:space="preserve">Receipts from Govt. Contribution </t>
  </si>
  <si>
    <t>a</t>
  </si>
  <si>
    <t xml:space="preserve">  Project 1 NEX</t>
  </si>
  <si>
    <t>Depends on projects</t>
  </si>
  <si>
    <t>b</t>
  </si>
  <si>
    <t xml:space="preserve">  Project 2 NEX </t>
  </si>
  <si>
    <t>c</t>
  </si>
  <si>
    <t xml:space="preserve">  Project 3 NEX </t>
  </si>
  <si>
    <t>d</t>
  </si>
  <si>
    <t xml:space="preserve">  Project 4 Agency execution </t>
  </si>
  <si>
    <t xml:space="preserve">  Subtotal</t>
  </si>
  <si>
    <t>B</t>
  </si>
  <si>
    <t>Receipts from Agencies</t>
  </si>
  <si>
    <t>Week 1</t>
  </si>
  <si>
    <t>C</t>
  </si>
  <si>
    <t>Receipts from Others</t>
  </si>
  <si>
    <t>Every week</t>
  </si>
  <si>
    <t>D</t>
  </si>
  <si>
    <t>Total Inflows from Local Sources</t>
  </si>
  <si>
    <t>Outflows:</t>
  </si>
  <si>
    <t>E</t>
  </si>
  <si>
    <t>Proj. Advance/Expenditure</t>
  </si>
  <si>
    <t xml:space="preserve">  Project 1 NEX </t>
  </si>
  <si>
    <t>Beginning of quarters</t>
  </si>
  <si>
    <t xml:space="preserve">  Project 2 NEX</t>
  </si>
  <si>
    <t xml:space="preserve">  Project 4 Agency execution</t>
  </si>
  <si>
    <t>Varies</t>
  </si>
  <si>
    <t>F</t>
  </si>
  <si>
    <t>Non UNDP Agy</t>
  </si>
  <si>
    <t>G</t>
  </si>
  <si>
    <t>Fixed Expense</t>
  </si>
  <si>
    <t xml:space="preserve">  Salary and Allowance</t>
  </si>
  <si>
    <t>The Last week</t>
  </si>
  <si>
    <t xml:space="preserve">  Fees paid to Consultant and Services</t>
  </si>
  <si>
    <t>Week 2,4</t>
  </si>
  <si>
    <t xml:space="preserve">  Premise/Security </t>
  </si>
  <si>
    <t xml:space="preserve">  Rent</t>
  </si>
  <si>
    <t xml:space="preserve">  Utility </t>
  </si>
  <si>
    <t xml:space="preserve">  Phone</t>
  </si>
  <si>
    <t xml:space="preserve">  Vehicle operating </t>
  </si>
  <si>
    <t>Every Week</t>
  </si>
  <si>
    <t xml:space="preserve">  Office supplies </t>
  </si>
  <si>
    <t>Week 2 &amp; 4</t>
  </si>
  <si>
    <t xml:space="preserve">  Miscellanies</t>
  </si>
  <si>
    <t>H</t>
  </si>
  <si>
    <t>Variable Expense</t>
  </si>
  <si>
    <t xml:space="preserve">  Capital spending - PC, equip</t>
  </si>
  <si>
    <t xml:space="preserve">  Travel Expenses</t>
  </si>
  <si>
    <t xml:space="preserve">  Activity Fees </t>
  </si>
  <si>
    <t>I</t>
  </si>
  <si>
    <t>Miscellanies</t>
  </si>
  <si>
    <t>J</t>
  </si>
  <si>
    <t>Total Outflows:</t>
  </si>
  <si>
    <t>K</t>
  </si>
  <si>
    <t>Net Cash Flow from Local Sources</t>
  </si>
  <si>
    <t>L</t>
  </si>
  <si>
    <t>Beginning Balance</t>
  </si>
  <si>
    <t>M</t>
  </si>
  <si>
    <t>Net Cash Bal before Conversion &amp; ZBA Draw</t>
  </si>
  <si>
    <t>N</t>
  </si>
  <si>
    <t>ZBA Drawing / Currency Conversion Required</t>
  </si>
  <si>
    <t>O</t>
  </si>
  <si>
    <t>Estimated Weekly Cashbook Balance</t>
  </si>
  <si>
    <t>P</t>
  </si>
  <si>
    <t>Actual Weekly Closing Cashbook Balances</t>
  </si>
  <si>
    <t>Q</t>
  </si>
  <si>
    <t>Actual ZBA Drawing / Direct Replenishment</t>
  </si>
  <si>
    <t>R</t>
  </si>
  <si>
    <t>Actual Conversion / Direct Replenishment</t>
  </si>
  <si>
    <t>S</t>
  </si>
  <si>
    <t>Accumulative ZBA Drawing</t>
  </si>
  <si>
    <t>T</t>
  </si>
  <si>
    <t>Accum Amt Exceeding Imprest/Need Approval</t>
  </si>
  <si>
    <t>Imprest level less conversion requirements</t>
  </si>
  <si>
    <t xml:space="preserve">Notes </t>
  </si>
  <si>
    <t>1. This is an example for an office with a local USD account and local currency account. (Examples provided are to further explain the amounts to be provided in the forecast.)</t>
  </si>
  <si>
    <t>2. Expenditure to be paid from the office's BOA ZBA and HQ bank accounts are excluded.</t>
  </si>
  <si>
    <t>3. The Total USD amount is calculated by dividing the local currenct amount by the exchange rate and them adding it to the USD amount</t>
  </si>
  <si>
    <t>4. Use the Estimated Weekly Cash Balance (Row 64) temporarily in Row 66 (Actual Closing Cashbook Balances) and replace with the actual balances as it becomes available. See Week 4 and 5.</t>
  </si>
  <si>
    <t>5. Prefill the USD Drawings, Conversion and/or Direct Replenishment (Rows 68 and 69) with estimated amounts and replace it with the actual amounts as the month progresses.</t>
  </si>
  <si>
    <t>The timing and the amount of cash inflow from governments depends on each project's contract. Insert, revise or delete rows above the subtotal, based on your real projects.</t>
  </si>
  <si>
    <r>
      <rPr>
        <b/>
        <sz val="10"/>
        <rFont val="Arial"/>
        <family val="2"/>
      </rPr>
      <t>a.</t>
    </r>
    <r>
      <rPr>
        <sz val="10"/>
        <rFont val="Arial"/>
        <family val="2"/>
      </rPr>
      <t xml:space="preserve"> Contributions received upfront by Treasury in USD.</t>
    </r>
  </si>
  <si>
    <r>
      <rPr>
        <b/>
        <sz val="10"/>
        <rFont val="Arial"/>
        <family val="2"/>
      </rPr>
      <t>b.</t>
    </r>
    <r>
      <rPr>
        <sz val="10"/>
        <rFont val="Arial"/>
        <family val="2"/>
      </rPr>
      <t xml:space="preserve"> Received by CO in local currency as an annual installment.</t>
    </r>
  </si>
  <si>
    <r>
      <rPr>
        <b/>
        <sz val="10"/>
        <rFont val="Arial"/>
        <family val="2"/>
      </rPr>
      <t xml:space="preserve">c. </t>
    </r>
    <r>
      <rPr>
        <sz val="10"/>
        <rFont val="Arial"/>
        <family val="2"/>
      </rPr>
      <t>Received $140,000, or 50% by Treasury in USD, remaining in local currency 20,300,000 semi-annual installments in Apr and Oct.</t>
    </r>
  </si>
  <si>
    <r>
      <rPr>
        <b/>
        <sz val="10"/>
        <rFont val="Arial"/>
        <family val="2"/>
      </rPr>
      <t xml:space="preserve">d. </t>
    </r>
    <r>
      <rPr>
        <sz val="10"/>
        <rFont val="Arial"/>
        <family val="2"/>
      </rPr>
      <t>Existing project with contributions received already.</t>
    </r>
  </si>
  <si>
    <r>
      <t xml:space="preserve">Based on agreements with agencies on </t>
    </r>
    <r>
      <rPr>
        <sz val="10"/>
        <rFont val="Arial"/>
        <family val="2"/>
      </rPr>
      <t>Cost Recovery</t>
    </r>
    <r>
      <rPr>
        <sz val="10"/>
        <rFont val="Arial"/>
        <family val="2"/>
      </rPr>
      <t xml:space="preserve"> for Common Services. CO should have a great degree of control when to collect the funds.Insert rows before the subtotal, based on real situation.</t>
    </r>
  </si>
  <si>
    <t>Input all other cash receipts in this category. Add rows for details before the subtotal if needed.</t>
  </si>
  <si>
    <t>This is a formula adding up all of the previous subtotals. When inserting new inflow categories, make sure the formula stays relevant.</t>
  </si>
  <si>
    <t>The disbursement for each project depends on its contact. Insert, revise, or delete rows before the subtotal, based on real projects.</t>
  </si>
  <si>
    <t>CO should require UN and agencies provide monthly forecast for their Non-UNDP payment amounts, timing, etc. which can be fine tuned when actual payment requests are received. Add rows before subtotal if needed.</t>
  </si>
  <si>
    <t xml:space="preserve">The weekly amounts are based on the monthly estimated expenses and filled in the corresponding week. CO should have certain amount and timing for each component of its own fixed expenses due to recurring nature.  </t>
  </si>
  <si>
    <t xml:space="preserve">Based on estimated weekly number to be fine tuned with actual invoices received.  </t>
  </si>
  <si>
    <t>All other expenses other than the above ones should be input in this category.</t>
  </si>
  <si>
    <t>This is a formula.  If more breakdown on type of outflows is needed, simply incert more rows but make sure the formula stays relevant.</t>
  </si>
  <si>
    <t>This is a formula adding total inflows and outflows from local sources.</t>
  </si>
  <si>
    <t>The balance for week 1 should be keyed in according to the last month's cash books, which is in the control box Cell C8 and D8. The remaining columns are formula driven and reflect the previous  week's actual balance in Row 66.</t>
  </si>
  <si>
    <t>This is a fomula adding up net cash flow from local sources (Row 58) and the beginning balance (Row 59).</t>
  </si>
  <si>
    <t>The shortage of the local bank accounts (Row 60) plus a 10% buffer is added to each currency amount to ensure cash are on hand at the start of the next week.</t>
  </si>
  <si>
    <t>The closing cashbook balances for the week equals 10% of imprest level for each curency or 20% of Imprest level as target cash balance.</t>
  </si>
  <si>
    <r>
      <t xml:space="preserve">The actual cashbook balances are enterered at the end of each week for comparison and used as the next week's opening balances. Use the </t>
    </r>
    <r>
      <rPr>
        <i/>
        <sz val="10"/>
        <rFont val="Arial"/>
        <family val="2"/>
      </rPr>
      <t>Estimated Weekly Cash Balances</t>
    </r>
    <r>
      <rPr>
        <sz val="10"/>
        <rFont val="Arial"/>
        <family val="2"/>
      </rPr>
      <t xml:space="preserve"> as place holders and replace it with the actual values as the month progresses. See week 5.</t>
    </r>
  </si>
  <si>
    <t>Funding of local accounts is expect to spread out once a week depending on each CO's liquidity needs and the practical implications such as banking arrangements and cost of conversion.</t>
  </si>
  <si>
    <t>- Direct (treasury/HQ) replenished offices will only request funding once or twice per month.</t>
  </si>
  <si>
    <t>- Self replenishing offices typically draw funding more frequently.</t>
  </si>
  <si>
    <t>Funding of local currency accounts will also depend on local banking arrangements and the cost of conversion. Offices with ZBA account and no sanction restrictions, tipically fund their local accounts more frequently.</t>
  </si>
  <si>
    <t xml:space="preserve">This is a formula adding up actual ZBA drawing in Row 68, which indicate the timing COs' ZBA drawing will exceed the imprest level shown in Cell C9. </t>
  </si>
  <si>
    <r>
      <t xml:space="preserve">Amount by which the forecasted replenishment for the month will exceeding the imprest level. COs must submit a request for approval in UNAll (Treasury --&gt; Cash Management) for the </t>
    </r>
    <r>
      <rPr>
        <b/>
        <sz val="10"/>
        <rFont val="Arial"/>
        <family val="2"/>
      </rPr>
      <t xml:space="preserve">TOTAL AMOUNT </t>
    </r>
    <r>
      <rPr>
        <sz val="10"/>
        <rFont val="Arial"/>
        <family val="2"/>
      </rPr>
      <t xml:space="preserve">of the excess required for the month.  </t>
    </r>
  </si>
  <si>
    <r>
      <t>UNDP</t>
    </r>
    <r>
      <rPr>
        <b/>
        <sz val="12"/>
        <color rgb="FF0070C0"/>
        <rFont val="Arial"/>
        <family val="2"/>
      </rPr>
      <t xml:space="preserve"> [Country Office ] </t>
    </r>
    <r>
      <rPr>
        <b/>
        <sz val="12"/>
        <rFont val="Arial"/>
        <family val="2"/>
      </rPr>
      <t xml:space="preserve">Weekly Detailed Cashflow Projection Sheet </t>
    </r>
  </si>
  <si>
    <t>If used together, the data from the detailed Cash Flow Projection will populated this worksheet.</t>
  </si>
  <si>
    <t>UNDP Exchange Rate</t>
  </si>
  <si>
    <t>Beg. Cash Balance of the month</t>
  </si>
  <si>
    <t xml:space="preserve">  </t>
  </si>
  <si>
    <t>Imprest Level</t>
  </si>
  <si>
    <t xml:space="preserve"> </t>
  </si>
  <si>
    <t>Receipts from Govt. Contribution</t>
  </si>
  <si>
    <t>Total Inflows from Local Sources:</t>
  </si>
  <si>
    <t>Disbursement - Proj. Advance/Expenditure</t>
  </si>
  <si>
    <t>Disbursement - Non-UNDP Agencies</t>
  </si>
  <si>
    <t>Disbursement - Fixed Expense</t>
  </si>
  <si>
    <t>Disbursement - Variable Expense</t>
  </si>
  <si>
    <t>Miscellaneous expenses</t>
  </si>
  <si>
    <t>Actual Conversion</t>
  </si>
  <si>
    <t>The timing and the amount of cash inflow from governments depends on each project's contract. Insert, revise or delete rows before the subtotal, based on your real projects.</t>
  </si>
  <si>
    <r>
      <t xml:space="preserve">Based on agreements with agencies on </t>
    </r>
    <r>
      <rPr>
        <sz val="10"/>
        <rFont val="Arial"/>
        <family val="2"/>
      </rPr>
      <t>Cost Recovery for Common Services. CO should have a great degree of control when to collect the funds. Insert rows before the subtotal, based on real situation.</t>
    </r>
  </si>
  <si>
    <t>This is a example. The weekly amounts are based on the monthly estimated expenses and filled in the corresponding week. For simplicity sake, vehicle operating and miscellanious expenses are evenly disbursed in 5 weeks.</t>
  </si>
  <si>
    <t xml:space="preserve">CO should have certain amount and timing for each component of its own fixed expenses due to recurring nature.  </t>
  </si>
  <si>
    <t>The balance for week 1 should be keyed in according to the last month's cash books, which is in the control box Cell C7 and D7. The remaining columes are formula equal to previous  week's actual balances in Row 37</t>
  </si>
  <si>
    <t>This is a fomula adding up net cash flow from local sources (Row 29) and the beginning balance (Row 30).</t>
  </si>
  <si>
    <t>The cash requirements to cover expenses as well as maitaining a balance of 20% of imprest level total for all the local accounts.</t>
  </si>
  <si>
    <t>Calculated  weekly cash balances. The total should not exceed 25% of imprest level.</t>
  </si>
  <si>
    <t>Actual cashbook balances at the end of the week captured manually.</t>
  </si>
  <si>
    <t>This row shows the actual funds drawn from ZBA account, which is a even number rounded to thousands based on Row 33. This is a decision point that COs could manage to get estimated cash balance in Row 35.</t>
  </si>
  <si>
    <t>Actual conversions of USD or EUR to local currency.</t>
  </si>
  <si>
    <t>This is a formula adding up actual ZBA drawing previously in Row 39. The timing and amount of the requests should be managed in order to avoid funding delays.</t>
  </si>
  <si>
    <t xml:space="preserve">Row 42 indicates if the implest level (C9) will be exceeded and by how much. COs must submit a request for approval in UNAll (Treasury --&gt; Cash Management) for the total amount of the excess required.  </t>
  </si>
  <si>
    <t>CO Cash Flow Data</t>
  </si>
  <si>
    <t>(Proportional allocation - for illustration purposes only)</t>
  </si>
  <si>
    <t>Exchange Rate</t>
  </si>
  <si>
    <t>1USD =</t>
  </si>
  <si>
    <t>% Paid in</t>
  </si>
  <si>
    <t>USD</t>
  </si>
  <si>
    <t>Local Curr</t>
  </si>
  <si>
    <t>Timing of</t>
  </si>
  <si>
    <t>Est. in USD</t>
  </si>
  <si>
    <t>Req.</t>
  </si>
  <si>
    <t>Pmt</t>
  </si>
  <si>
    <t>Fixed monthly payments (with certainty of amount and timing)</t>
  </si>
  <si>
    <t xml:space="preserve">  Salary</t>
  </si>
  <si>
    <t>Last week</t>
  </si>
  <si>
    <t xml:space="preserve">  Premise/Security (a)</t>
  </si>
  <si>
    <t xml:space="preserve">  Utility (a)</t>
  </si>
  <si>
    <t xml:space="preserve">  Phone (a)</t>
  </si>
  <si>
    <t xml:space="preserve">  Vehicle operating (a)</t>
  </si>
  <si>
    <t xml:space="preserve">  Office supplies (a)</t>
  </si>
  <si>
    <t>Subtotal</t>
  </si>
  <si>
    <t>Variable payments</t>
  </si>
  <si>
    <t xml:space="preserve">  All other</t>
  </si>
  <si>
    <t>Non-UNDP payments (b)</t>
  </si>
  <si>
    <t>Project Advance/Expense</t>
  </si>
  <si>
    <t>Beg. of quarter</t>
  </si>
  <si>
    <t>Total outflow (c)</t>
  </si>
  <si>
    <t>Other receipts - misc.</t>
  </si>
  <si>
    <t>Receipt form agency</t>
  </si>
  <si>
    <t xml:space="preserve">  Common service recovery rate</t>
  </si>
  <si>
    <t>N/A</t>
  </si>
  <si>
    <t>Notes:</t>
  </si>
  <si>
    <t>1. The local currency calculated portion is multiplied by the exchange rate in E4.</t>
  </si>
  <si>
    <t>2. The percentage allocations are based on available data, historical trends and the office's best estimate of current in- and outflows.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</si>
</sst>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_);\(#,##0.000\)"/>
    <numFmt numFmtId="166" formatCode="mmmm\-yy"/>
    <numFmt numFmtId="167" formatCode="0.0%"/>
  </numFmts>
  <fonts count="15">
    <font>
      <sz val="10"/>
      <name val="Arial"/>
    </font>
    <font>
      <sz val="10"/>
      <name val="Arial"/>
      <family val="2"/>
    </font>
    <font>
      <b/>
      <sz val="10"/>
      <name val="Arial"/>
      <family val="2"/>
    </font>
    <font>
      <sz val="10"/>
      <name val="Arial"/>
      <family val="2"/>
    </font>
    <font>
      <i/>
      <sz val="10"/>
      <name val="Arial"/>
      <family val="2"/>
    </font>
    <font>
      <b/>
      <i/>
      <sz val="10"/>
      <name val="Arial"/>
      <family val="2"/>
    </font>
    <font>
      <b/>
      <sz val="12"/>
      <name val="Arial"/>
      <family val="2"/>
    </font>
    <font>
      <b/>
      <sz val="12"/>
      <color rgb="FF0070C0"/>
      <name val="Arial"/>
      <family val="2"/>
    </font>
    <font>
      <b/>
      <sz val="10"/>
      <color theme="9" tint="-0.249977111117893"/>
      <name val="Arial"/>
      <family val="2"/>
    </font>
    <font>
      <b/>
      <sz val="12"/>
      <color theme="9" tint="-0.249977111117893"/>
      <name val="Arial"/>
      <family val="2"/>
    </font>
    <font>
      <b/>
      <sz val="10"/>
      <color rgb="FF0070C0"/>
      <name val="Arial"/>
      <family val="2"/>
    </font>
    <font>
      <sz val="10"/>
      <color indexed="12"/>
      <name val="Arial"/>
      <family val="2"/>
    </font>
    <font>
      <i/>
      <sz val="10"/>
      <color indexed="12"/>
      <name val="Arial"/>
      <family val="2"/>
    </font>
    <font>
      <b/>
      <u/>
      <sz val="10"/>
      <name val="Arial"/>
      <family val="2"/>
    </font>
    <font>
      <sz val="1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EFFE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3">
    <border>
      <left/>
      <right/>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17"/>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rgb="FF00B050"/>
      </left>
      <right/>
      <top style="medium">
        <color rgb="FF00B050"/>
      </top>
      <bottom style="thin">
        <color indexed="64"/>
      </bottom>
      <diagonal/>
    </border>
    <border>
      <left/>
      <right/>
      <top style="medium">
        <color rgb="FF00B050"/>
      </top>
      <bottom style="thin">
        <color indexed="64"/>
      </bottom>
      <diagonal/>
    </border>
    <border>
      <left/>
      <right style="medium">
        <color rgb="FF00B050"/>
      </right>
      <top style="medium">
        <color rgb="FF00B050"/>
      </top>
      <bottom style="thin">
        <color indexed="64"/>
      </bottom>
      <diagonal/>
    </border>
    <border>
      <left style="medium">
        <color rgb="FF00B050"/>
      </left>
      <right style="thin">
        <color indexed="64"/>
      </right>
      <top style="thin">
        <color indexed="64"/>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style="thin">
        <color indexed="64"/>
      </right>
      <top style="thin">
        <color indexed="64"/>
      </top>
      <bottom style="medium">
        <color indexed="64"/>
      </bottom>
      <diagonal/>
    </border>
    <border>
      <left style="thin">
        <color indexed="64"/>
      </left>
      <right style="medium">
        <color rgb="FF00B050"/>
      </right>
      <top style="thin">
        <color indexed="64"/>
      </top>
      <bottom style="medium">
        <color indexed="64"/>
      </bottom>
      <diagonal/>
    </border>
    <border>
      <left style="medium">
        <color rgb="FF00B050"/>
      </left>
      <right style="thin">
        <color indexed="64"/>
      </right>
      <top/>
      <bottom style="medium">
        <color indexed="64"/>
      </bottom>
      <diagonal/>
    </border>
    <border>
      <left style="thin">
        <color indexed="64"/>
      </left>
      <right style="medium">
        <color rgb="FF00B050"/>
      </right>
      <top/>
      <bottom style="medium">
        <color indexed="64"/>
      </bottom>
      <diagonal/>
    </border>
    <border>
      <left style="medium">
        <color rgb="FF00B050"/>
      </left>
      <right style="thin">
        <color indexed="64"/>
      </right>
      <top/>
      <bottom style="thin">
        <color indexed="64"/>
      </bottom>
      <diagonal/>
    </border>
    <border>
      <left style="thin">
        <color indexed="64"/>
      </left>
      <right style="medium">
        <color rgb="FF00B050"/>
      </right>
      <top/>
      <bottom style="thin">
        <color indexed="64"/>
      </bottom>
      <diagonal/>
    </border>
    <border>
      <left style="medium">
        <color rgb="FF00B050"/>
      </left>
      <right/>
      <top/>
      <bottom/>
      <diagonal/>
    </border>
    <border>
      <left/>
      <right style="medium">
        <color rgb="FF00B050"/>
      </right>
      <top/>
      <bottom/>
      <diagonal/>
    </border>
    <border>
      <left/>
      <right style="medium">
        <color rgb="FF00B050"/>
      </right>
      <top style="thin">
        <color indexed="64"/>
      </top>
      <bottom style="thin">
        <color indexed="64"/>
      </bottom>
      <diagonal/>
    </border>
    <border>
      <left/>
      <right style="medium">
        <color rgb="FF00B050"/>
      </right>
      <top style="thin">
        <color indexed="64"/>
      </top>
      <bottom style="medium">
        <color indexed="64"/>
      </bottom>
      <diagonal/>
    </border>
    <border>
      <left/>
      <right style="medium">
        <color rgb="FF00B050"/>
      </right>
      <top/>
      <bottom style="medium">
        <color indexed="64"/>
      </bottom>
      <diagonal/>
    </border>
    <border>
      <left/>
      <right/>
      <top style="medium">
        <color rgb="FF00B050"/>
      </top>
      <bottom/>
      <diagonal/>
    </border>
    <border>
      <left/>
      <right/>
      <top style="medium">
        <color rgb="FF00AC4E"/>
      </top>
      <bottom/>
      <diagonal/>
    </border>
    <border>
      <left style="medium">
        <color rgb="FF00AC4E"/>
      </left>
      <right/>
      <top style="medium">
        <color rgb="FF00AC4E"/>
      </top>
      <bottom/>
      <diagonal/>
    </border>
    <border>
      <left/>
      <right style="medium">
        <color indexed="17"/>
      </right>
      <top style="medium">
        <color rgb="FF00AC4E"/>
      </top>
      <bottom/>
      <diagonal/>
    </border>
    <border>
      <left style="medium">
        <color indexed="17"/>
      </left>
      <right/>
      <top style="medium">
        <color rgb="FF00AC4E"/>
      </top>
      <bottom/>
      <diagonal/>
    </border>
    <border>
      <left style="medium">
        <color indexed="17"/>
      </left>
      <right style="medium">
        <color rgb="FF00AC4E"/>
      </right>
      <top style="medium">
        <color rgb="FF00AC4E"/>
      </top>
      <bottom/>
      <diagonal/>
    </border>
    <border>
      <left style="medium">
        <color rgb="FF00AC4E"/>
      </left>
      <right style="thin">
        <color indexed="64"/>
      </right>
      <top style="thin">
        <color indexed="64"/>
      </top>
      <bottom style="thin">
        <color indexed="64"/>
      </bottom>
      <diagonal/>
    </border>
    <border>
      <left/>
      <right style="medium">
        <color rgb="FF00AC4E"/>
      </right>
      <top style="thin">
        <color indexed="64"/>
      </top>
      <bottom style="thin">
        <color indexed="64"/>
      </bottom>
      <diagonal/>
    </border>
    <border>
      <left style="medium">
        <color rgb="FF00AC4E"/>
      </left>
      <right/>
      <top/>
      <bottom/>
      <diagonal/>
    </border>
    <border>
      <left style="medium">
        <color rgb="FF00AC4E"/>
      </left>
      <right style="thin">
        <color indexed="64"/>
      </right>
      <top style="thin">
        <color indexed="64"/>
      </top>
      <bottom style="medium">
        <color rgb="FF00AC4E"/>
      </bottom>
      <diagonal/>
    </border>
    <border>
      <left style="thin">
        <color indexed="64"/>
      </left>
      <right style="thin">
        <color indexed="64"/>
      </right>
      <top style="thin">
        <color indexed="64"/>
      </top>
      <bottom style="medium">
        <color rgb="FF00AC4E"/>
      </bottom>
      <diagonal/>
    </border>
    <border>
      <left style="medium">
        <color rgb="FF00B050"/>
      </left>
      <right style="thin">
        <color indexed="64"/>
      </right>
      <top style="thin">
        <color indexed="64"/>
      </top>
      <bottom style="medium">
        <color rgb="FF00AC4E"/>
      </bottom>
      <diagonal/>
    </border>
    <border>
      <left/>
      <right style="medium">
        <color rgb="FF00B050"/>
      </right>
      <top style="thin">
        <color indexed="64"/>
      </top>
      <bottom style="medium">
        <color rgb="FF00AC4E"/>
      </bottom>
      <diagonal/>
    </border>
    <border>
      <left/>
      <right style="medium">
        <color rgb="FF00AC4E"/>
      </right>
      <top style="thin">
        <color indexed="64"/>
      </top>
      <bottom style="medium">
        <color rgb="FF00AC4E"/>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AC4E"/>
      </left>
      <right style="thin">
        <color indexed="64"/>
      </right>
      <top style="medium">
        <color rgb="FF00AC4E"/>
      </top>
      <bottom style="thin">
        <color indexed="64"/>
      </bottom>
      <diagonal/>
    </border>
    <border>
      <left style="thin">
        <color indexed="64"/>
      </left>
      <right style="thin">
        <color indexed="64"/>
      </right>
      <top style="medium">
        <color rgb="FF00AC4E"/>
      </top>
      <bottom style="thin">
        <color indexed="64"/>
      </bottom>
      <diagonal/>
    </border>
    <border>
      <left style="thin">
        <color indexed="64"/>
      </left>
      <right style="medium">
        <color rgb="FF00B050"/>
      </right>
      <top style="medium">
        <color rgb="FF00AC4E"/>
      </top>
      <bottom style="thin">
        <color indexed="64"/>
      </bottom>
      <diagonal/>
    </border>
    <border>
      <left style="medium">
        <color rgb="FF00B050"/>
      </left>
      <right style="thin">
        <color indexed="64"/>
      </right>
      <top style="medium">
        <color rgb="FF00AC4E"/>
      </top>
      <bottom style="thin">
        <color indexed="64"/>
      </bottom>
      <diagonal/>
    </border>
    <border>
      <left style="thin">
        <color indexed="64"/>
      </left>
      <right style="medium">
        <color rgb="FF00AC4E"/>
      </right>
      <top style="medium">
        <color rgb="FF00AC4E"/>
      </top>
      <bottom style="thin">
        <color indexed="64"/>
      </bottom>
      <diagonal/>
    </border>
    <border>
      <left style="thin">
        <color indexed="64"/>
      </left>
      <right style="medium">
        <color rgb="FF00AC4E"/>
      </right>
      <top style="thin">
        <color indexed="64"/>
      </top>
      <bottom style="thin">
        <color indexed="64"/>
      </bottom>
      <diagonal/>
    </border>
    <border>
      <left/>
      <right style="thin">
        <color indexed="64"/>
      </right>
      <top style="medium">
        <color rgb="FF00AC4E"/>
      </top>
      <bottom style="thin">
        <color indexed="64"/>
      </bottom>
      <diagonal/>
    </border>
    <border>
      <left style="medium">
        <color rgb="FF00B050"/>
      </left>
      <right/>
      <top style="medium">
        <color rgb="FF00B050"/>
      </top>
      <bottom style="medium">
        <color rgb="FF00AC4E"/>
      </bottom>
      <diagonal/>
    </border>
    <border>
      <left/>
      <right/>
      <top style="medium">
        <color rgb="FF00B050"/>
      </top>
      <bottom style="medium">
        <color rgb="FF00AC4E"/>
      </bottom>
      <diagonal/>
    </border>
    <border>
      <left/>
      <right style="medium">
        <color rgb="FF00AC4E"/>
      </right>
      <top style="medium">
        <color rgb="FF00B050"/>
      </top>
      <bottom style="medium">
        <color rgb="FF00AC4E"/>
      </bottom>
      <diagonal/>
    </border>
    <border>
      <left style="medium">
        <color indexed="64"/>
      </left>
      <right style="medium">
        <color indexed="64"/>
      </right>
      <top/>
      <bottom style="medium">
        <color indexed="64"/>
      </bottom>
      <diagonal/>
    </border>
    <border>
      <left/>
      <right/>
      <top/>
      <bottom style="double">
        <color indexed="64"/>
      </bottom>
      <diagonal/>
    </border>
    <border>
      <left/>
      <right style="medium">
        <color rgb="FF00B050"/>
      </right>
      <top/>
      <bottom style="thin">
        <color indexed="64"/>
      </bottom>
      <diagonal/>
    </border>
    <border>
      <left/>
      <right style="thin">
        <color indexed="64"/>
      </right>
      <top/>
      <bottom style="medium">
        <color indexed="64"/>
      </bottom>
      <diagonal/>
    </border>
    <border>
      <left style="medium">
        <color rgb="FF00B05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B050"/>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40">
    <xf numFmtId="0" fontId="0" fillId="0" borderId="0" xfId="0"/>
    <xf numFmtId="37" fontId="0" fillId="0" borderId="0" xfId="0" applyNumberFormat="1"/>
    <xf numFmtId="0" fontId="2" fillId="0" borderId="0" xfId="0" applyFont="1"/>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Alignment="1">
      <alignment horizontal="left"/>
    </xf>
    <xf numFmtId="165" fontId="0" fillId="0" borderId="0" xfId="0" applyNumberFormat="1"/>
    <xf numFmtId="0" fontId="0" fillId="0" borderId="5" xfId="0" applyBorder="1"/>
    <xf numFmtId="37" fontId="0" fillId="0" borderId="5" xfId="0" applyNumberFormat="1" applyBorder="1"/>
    <xf numFmtId="164" fontId="1" fillId="0" borderId="0" xfId="1" applyNumberFormat="1" applyBorder="1" applyAlignment="1">
      <alignment horizontal="right"/>
    </xf>
    <xf numFmtId="9" fontId="1" fillId="0" borderId="0" xfId="2" applyBorder="1" applyAlignment="1">
      <alignment horizontal="right"/>
    </xf>
    <xf numFmtId="164" fontId="0" fillId="0" borderId="0" xfId="1" applyNumberFormat="1" applyFont="1" applyBorder="1" applyAlignment="1">
      <alignment horizontal="right"/>
    </xf>
    <xf numFmtId="0" fontId="4" fillId="0" borderId="5" xfId="0" applyFont="1" applyBorder="1"/>
    <xf numFmtId="164" fontId="0" fillId="0" borderId="5" xfId="1" applyNumberFormat="1" applyFont="1" applyBorder="1"/>
    <xf numFmtId="39" fontId="0" fillId="0" borderId="5" xfId="0" applyNumberFormat="1" applyBorder="1"/>
    <xf numFmtId="37" fontId="0" fillId="0" borderId="5" xfId="1" applyNumberFormat="1" applyFont="1" applyBorder="1"/>
    <xf numFmtId="0" fontId="0" fillId="0" borderId="5" xfId="0" applyBorder="1" applyAlignment="1">
      <alignment horizontal="left"/>
    </xf>
    <xf numFmtId="0" fontId="2" fillId="0" borderId="5" xfId="0" applyFont="1" applyBorder="1"/>
    <xf numFmtId="0" fontId="0" fillId="0" borderId="0" xfId="0" applyAlignment="1">
      <alignment horizontal="center"/>
    </xf>
    <xf numFmtId="0" fontId="2" fillId="0" borderId="5" xfId="0" applyFont="1" applyBorder="1" applyAlignment="1">
      <alignment horizontal="right"/>
    </xf>
    <xf numFmtId="164" fontId="2" fillId="0" borderId="5" xfId="1" applyNumberFormat="1" applyFont="1" applyBorder="1" applyAlignment="1">
      <alignment horizontal="right"/>
    </xf>
    <xf numFmtId="37" fontId="0" fillId="0" borderId="0" xfId="0" applyNumberFormat="1" applyAlignment="1">
      <alignment horizontal="left"/>
    </xf>
    <xf numFmtId="0" fontId="5" fillId="0" borderId="5" xfId="0" applyFont="1" applyBorder="1"/>
    <xf numFmtId="37" fontId="0" fillId="0" borderId="5" xfId="1" applyNumberFormat="1" applyFont="1" applyFill="1" applyBorder="1"/>
    <xf numFmtId="37" fontId="2" fillId="0" borderId="0" xfId="0" applyNumberFormat="1" applyFont="1" applyAlignment="1">
      <alignment horizontal="left"/>
    </xf>
    <xf numFmtId="0" fontId="2" fillId="0" borderId="0" xfId="0" applyFont="1" applyAlignment="1">
      <alignment horizontal="left" shrinkToFit="1"/>
    </xf>
    <xf numFmtId="164" fontId="2" fillId="0" borderId="0" xfId="1" applyNumberFormat="1" applyFont="1" applyBorder="1" applyAlignment="1">
      <alignment horizontal="right"/>
    </xf>
    <xf numFmtId="37" fontId="2" fillId="0" borderId="0" xfId="0" applyNumberFormat="1" applyFont="1" applyAlignment="1">
      <alignment horizontal="right"/>
    </xf>
    <xf numFmtId="0" fontId="0" fillId="0" borderId="6" xfId="0" applyBorder="1"/>
    <xf numFmtId="0" fontId="2" fillId="0" borderId="6" xfId="0" applyFont="1" applyBorder="1"/>
    <xf numFmtId="0" fontId="6" fillId="0" borderId="0" xfId="0" applyFont="1" applyAlignment="1">
      <alignment horizontal="center"/>
    </xf>
    <xf numFmtId="164" fontId="0" fillId="0" borderId="5" xfId="1" applyNumberFormat="1" applyFont="1" applyBorder="1" applyAlignment="1">
      <alignment horizontal="right"/>
    </xf>
    <xf numFmtId="37" fontId="2" fillId="0" borderId="6" xfId="0" applyNumberFormat="1" applyFont="1" applyBorder="1"/>
    <xf numFmtId="0" fontId="2" fillId="0" borderId="0" xfId="0" applyFont="1" applyAlignment="1">
      <alignment horizontal="left"/>
    </xf>
    <xf numFmtId="37" fontId="2" fillId="0" borderId="0" xfId="0" applyNumberFormat="1" applyFont="1"/>
    <xf numFmtId="0" fontId="2" fillId="0" borderId="0" xfId="0" applyFont="1" applyAlignment="1">
      <alignment horizontal="center"/>
    </xf>
    <xf numFmtId="0" fontId="2" fillId="2" borderId="5" xfId="0" applyFont="1" applyFill="1" applyBorder="1" applyAlignment="1">
      <alignment horizontal="center"/>
    </xf>
    <xf numFmtId="164" fontId="0" fillId="2" borderId="5" xfId="1" applyNumberFormat="1" applyFont="1" applyFill="1" applyBorder="1"/>
    <xf numFmtId="0" fontId="0" fillId="2" borderId="5" xfId="0" applyFill="1" applyBorder="1"/>
    <xf numFmtId="37" fontId="0" fillId="2" borderId="5" xfId="1" applyNumberFormat="1" applyFont="1" applyFill="1" applyBorder="1" applyAlignment="1">
      <alignment horizontal="right"/>
    </xf>
    <xf numFmtId="0" fontId="0" fillId="2" borderId="5" xfId="0" applyFill="1" applyBorder="1" applyAlignment="1">
      <alignment horizontal="right"/>
    </xf>
    <xf numFmtId="37" fontId="0" fillId="2" borderId="5" xfId="0" applyNumberFormat="1" applyFill="1" applyBorder="1" applyAlignment="1">
      <alignment horizontal="right"/>
    </xf>
    <xf numFmtId="37" fontId="0" fillId="2" borderId="5" xfId="1" applyNumberFormat="1" applyFont="1" applyFill="1" applyBorder="1"/>
    <xf numFmtId="39" fontId="0" fillId="2" borderId="5" xfId="0" applyNumberFormat="1" applyFill="1" applyBorder="1"/>
    <xf numFmtId="37" fontId="0" fillId="2" borderId="5" xfId="0" applyNumberFormat="1" applyFill="1" applyBorder="1"/>
    <xf numFmtId="0" fontId="1" fillId="0" borderId="0" xfId="0" applyFont="1"/>
    <xf numFmtId="1" fontId="2" fillId="0" borderId="0" xfId="1" applyNumberFormat="1" applyFont="1" applyBorder="1" applyAlignment="1">
      <alignment horizontal="right"/>
    </xf>
    <xf numFmtId="0" fontId="2" fillId="0" borderId="0" xfId="0" applyFont="1" applyAlignment="1">
      <alignment horizontal="right"/>
    </xf>
    <xf numFmtId="37" fontId="0" fillId="0" borderId="0" xfId="0" applyNumberFormat="1" applyAlignment="1">
      <alignment horizontal="right"/>
    </xf>
    <xf numFmtId="37" fontId="2" fillId="2" borderId="11" xfId="0" applyNumberFormat="1" applyFont="1" applyFill="1" applyBorder="1" applyAlignment="1">
      <alignment horizontal="right"/>
    </xf>
    <xf numFmtId="37" fontId="2" fillId="2" borderId="12" xfId="1" applyNumberFormat="1" applyFont="1" applyFill="1" applyBorder="1" applyAlignment="1">
      <alignment horizontal="right"/>
    </xf>
    <xf numFmtId="37" fontId="0" fillId="2" borderId="9" xfId="1" applyNumberFormat="1" applyFont="1" applyFill="1" applyBorder="1" applyAlignment="1">
      <alignment horizontal="right"/>
    </xf>
    <xf numFmtId="37" fontId="0" fillId="2" borderId="10" xfId="1" applyNumberFormat="1" applyFont="1" applyFill="1" applyBorder="1" applyAlignment="1">
      <alignment horizontal="right"/>
    </xf>
    <xf numFmtId="37" fontId="0" fillId="2" borderId="10" xfId="0" applyNumberFormat="1" applyFill="1" applyBorder="1" applyAlignment="1">
      <alignment horizontal="right"/>
    </xf>
    <xf numFmtId="37" fontId="0" fillId="2" borderId="11" xfId="1" applyNumberFormat="1" applyFont="1" applyFill="1" applyBorder="1" applyAlignment="1">
      <alignment horizontal="right"/>
    </xf>
    <xf numFmtId="0" fontId="8" fillId="0" borderId="0" xfId="0" applyFont="1"/>
    <xf numFmtId="37" fontId="0" fillId="0" borderId="9" xfId="1" applyNumberFormat="1" applyFont="1" applyFill="1" applyBorder="1" applyAlignment="1">
      <alignment horizontal="right"/>
    </xf>
    <xf numFmtId="37" fontId="0" fillId="0" borderId="9" xfId="0" applyNumberFormat="1" applyBorder="1" applyAlignment="1">
      <alignment horizontal="right"/>
    </xf>
    <xf numFmtId="0" fontId="2" fillId="0" borderId="17" xfId="0" applyFont="1" applyBorder="1" applyAlignment="1">
      <alignment horizontal="center"/>
    </xf>
    <xf numFmtId="0" fontId="2" fillId="3" borderId="18" xfId="0" applyFont="1" applyFill="1" applyBorder="1" applyAlignment="1">
      <alignment horizontal="center"/>
    </xf>
    <xf numFmtId="0" fontId="0" fillId="0" borderId="17" xfId="0" applyBorder="1"/>
    <xf numFmtId="164" fontId="0" fillId="3" borderId="18" xfId="1" applyNumberFormat="1" applyFont="1" applyFill="1" applyBorder="1"/>
    <xf numFmtId="37" fontId="0" fillId="0" borderId="17" xfId="0" applyNumberFormat="1" applyBorder="1"/>
    <xf numFmtId="0" fontId="0" fillId="3" borderId="18" xfId="0" applyFill="1" applyBorder="1"/>
    <xf numFmtId="37" fontId="0" fillId="0" borderId="17" xfId="0" applyNumberFormat="1" applyBorder="1" applyAlignment="1">
      <alignment horizontal="right"/>
    </xf>
    <xf numFmtId="37" fontId="0" fillId="3" borderId="18" xfId="1" applyNumberFormat="1" applyFont="1" applyFill="1" applyBorder="1" applyAlignment="1">
      <alignment horizontal="right"/>
    </xf>
    <xf numFmtId="0" fontId="0" fillId="3" borderId="18" xfId="0" applyFill="1" applyBorder="1" applyAlignment="1">
      <alignment horizontal="right"/>
    </xf>
    <xf numFmtId="37" fontId="0" fillId="0" borderId="19" xfId="0" applyNumberFormat="1" applyBorder="1" applyAlignment="1">
      <alignment horizontal="right"/>
    </xf>
    <xf numFmtId="37" fontId="0" fillId="3" borderId="20" xfId="1" applyNumberFormat="1" applyFont="1" applyFill="1" applyBorder="1" applyAlignment="1">
      <alignment horizontal="right"/>
    </xf>
    <xf numFmtId="37" fontId="0" fillId="0" borderId="21" xfId="1" applyNumberFormat="1" applyFont="1" applyBorder="1" applyAlignment="1">
      <alignment horizontal="right"/>
    </xf>
    <xf numFmtId="37" fontId="0" fillId="3" borderId="22" xfId="1" applyNumberFormat="1" applyFont="1" applyFill="1" applyBorder="1" applyAlignment="1">
      <alignment horizontal="right"/>
    </xf>
    <xf numFmtId="37" fontId="0" fillId="0" borderId="23" xfId="0" applyNumberFormat="1" applyBorder="1" applyAlignment="1">
      <alignment horizontal="right"/>
    </xf>
    <xf numFmtId="37" fontId="0" fillId="3" borderId="24" xfId="1" applyNumberFormat="1" applyFont="1" applyFill="1" applyBorder="1" applyAlignment="1">
      <alignment horizontal="right"/>
    </xf>
    <xf numFmtId="37" fontId="0" fillId="0" borderId="17" xfId="1" applyNumberFormat="1" applyFont="1" applyFill="1" applyBorder="1" applyAlignment="1">
      <alignment horizontal="right"/>
    </xf>
    <xf numFmtId="37" fontId="0" fillId="0" borderId="21" xfId="0" applyNumberFormat="1" applyBorder="1" applyAlignment="1">
      <alignment horizontal="right"/>
    </xf>
    <xf numFmtId="37" fontId="0" fillId="0" borderId="24" xfId="1" applyNumberFormat="1" applyFont="1" applyFill="1" applyBorder="1" applyAlignment="1">
      <alignment horizontal="right"/>
    </xf>
    <xf numFmtId="37" fontId="2" fillId="0" borderId="19" xfId="0" applyNumberFormat="1" applyFont="1" applyBorder="1" applyAlignment="1">
      <alignment horizontal="right"/>
    </xf>
    <xf numFmtId="37" fontId="2" fillId="0" borderId="21" xfId="0" applyNumberFormat="1" applyFont="1" applyBorder="1" applyAlignment="1">
      <alignment horizontal="right"/>
    </xf>
    <xf numFmtId="37" fontId="2" fillId="3" borderId="22" xfId="1" applyNumberFormat="1" applyFont="1" applyFill="1" applyBorder="1" applyAlignment="1">
      <alignment horizontal="right"/>
    </xf>
    <xf numFmtId="37" fontId="0" fillId="0" borderId="25" xfId="0" applyNumberFormat="1" applyBorder="1" applyAlignment="1">
      <alignment horizontal="right"/>
    </xf>
    <xf numFmtId="37" fontId="0" fillId="0" borderId="26" xfId="0" applyNumberFormat="1" applyBorder="1" applyAlignment="1">
      <alignment horizontal="right"/>
    </xf>
    <xf numFmtId="37" fontId="2" fillId="3" borderId="27" xfId="1" applyNumberFormat="1" applyFont="1" applyFill="1" applyBorder="1" applyAlignment="1">
      <alignment horizontal="right"/>
    </xf>
    <xf numFmtId="39" fontId="0" fillId="0" borderId="17" xfId="0" applyNumberFormat="1" applyBorder="1"/>
    <xf numFmtId="37" fontId="0" fillId="0" borderId="17" xfId="1" applyNumberFormat="1" applyFont="1" applyBorder="1" applyAlignment="1">
      <alignment horizontal="right"/>
    </xf>
    <xf numFmtId="0" fontId="0" fillId="0" borderId="17" xfId="0" applyBorder="1" applyAlignment="1">
      <alignment horizontal="right"/>
    </xf>
    <xf numFmtId="37" fontId="0" fillId="0" borderId="19" xfId="1" applyNumberFormat="1" applyFont="1" applyBorder="1" applyAlignment="1">
      <alignment horizontal="right"/>
    </xf>
    <xf numFmtId="37" fontId="0" fillId="0" borderId="23" xfId="1" applyNumberFormat="1" applyFont="1" applyBorder="1" applyAlignment="1">
      <alignment horizontal="right"/>
    </xf>
    <xf numFmtId="37" fontId="2" fillId="0" borderId="19" xfId="1" applyNumberFormat="1" applyFont="1" applyFill="1" applyBorder="1" applyAlignment="1">
      <alignment horizontal="right"/>
    </xf>
    <xf numFmtId="37" fontId="2" fillId="3" borderId="28" xfId="1" applyNumberFormat="1" applyFont="1" applyFill="1" applyBorder="1" applyAlignment="1">
      <alignment horizontal="right"/>
    </xf>
    <xf numFmtId="37" fontId="2" fillId="3" borderId="29" xfId="0" applyNumberFormat="1" applyFont="1" applyFill="1" applyBorder="1" applyAlignment="1">
      <alignment horizontal="right"/>
    </xf>
    <xf numFmtId="164" fontId="0" fillId="0" borderId="17" xfId="1" applyNumberFormat="1" applyFont="1" applyBorder="1"/>
    <xf numFmtId="37" fontId="0" fillId="0" borderId="17" xfId="1" applyNumberFormat="1" applyFont="1" applyBorder="1"/>
    <xf numFmtId="37" fontId="0" fillId="0" borderId="23" xfId="1" applyNumberFormat="1" applyFont="1" applyFill="1" applyBorder="1" applyAlignment="1">
      <alignment horizontal="right"/>
    </xf>
    <xf numFmtId="0" fontId="0" fillId="0" borderId="13" xfId="0" applyBorder="1"/>
    <xf numFmtId="0" fontId="2" fillId="0" borderId="13" xfId="0" applyFont="1" applyBorder="1"/>
    <xf numFmtId="37" fontId="5" fillId="0" borderId="19" xfId="0" applyNumberFormat="1" applyFont="1" applyBorder="1" applyAlignment="1">
      <alignment horizontal="right"/>
    </xf>
    <xf numFmtId="0" fontId="2" fillId="0" borderId="35" xfId="0" applyFont="1" applyBorder="1" applyAlignment="1">
      <alignment horizontal="center"/>
    </xf>
    <xf numFmtId="0" fontId="2" fillId="0" borderId="37" xfId="0" applyFont="1" applyBorder="1" applyAlignment="1">
      <alignment horizontal="left"/>
    </xf>
    <xf numFmtId="0" fontId="5" fillId="0" borderId="36" xfId="0" applyFont="1" applyBorder="1"/>
    <xf numFmtId="0" fontId="0" fillId="0" borderId="37" xfId="0" applyBorder="1" applyAlignment="1">
      <alignment horizontal="left"/>
    </xf>
    <xf numFmtId="0" fontId="2" fillId="0" borderId="36" xfId="0" applyFont="1" applyBorder="1"/>
    <xf numFmtId="0" fontId="2" fillId="0" borderId="39" xfId="0" applyFont="1" applyBorder="1"/>
    <xf numFmtId="0" fontId="2" fillId="0" borderId="40" xfId="0" applyFont="1" applyBorder="1" applyAlignment="1">
      <alignment horizontal="left"/>
    </xf>
    <xf numFmtId="37" fontId="2" fillId="3" borderId="42" xfId="1" applyNumberFormat="1" applyFont="1" applyFill="1" applyBorder="1" applyAlignment="1">
      <alignment horizontal="right"/>
    </xf>
    <xf numFmtId="37" fontId="2" fillId="0" borderId="43" xfId="0" applyNumberFormat="1" applyFont="1" applyBorder="1" applyAlignment="1">
      <alignment horizontal="left"/>
    </xf>
    <xf numFmtId="0" fontId="9" fillId="0" borderId="0" xfId="0" applyFont="1"/>
    <xf numFmtId="0" fontId="10" fillId="0" borderId="0" xfId="0" applyFont="1"/>
    <xf numFmtId="37" fontId="2" fillId="7" borderId="17" xfId="0" applyNumberFormat="1" applyFont="1" applyFill="1" applyBorder="1" applyAlignment="1">
      <alignment horizontal="right"/>
    </xf>
    <xf numFmtId="37" fontId="2" fillId="7" borderId="17" xfId="1" applyNumberFormat="1" applyFont="1" applyFill="1" applyBorder="1" applyAlignment="1">
      <alignment horizontal="right"/>
    </xf>
    <xf numFmtId="37" fontId="2" fillId="7" borderId="41" xfId="0" applyNumberFormat="1" applyFont="1" applyFill="1" applyBorder="1" applyAlignment="1">
      <alignment horizontal="right"/>
    </xf>
    <xf numFmtId="37" fontId="2" fillId="7" borderId="40" xfId="0" applyNumberFormat="1" applyFont="1" applyFill="1" applyBorder="1" applyAlignment="1">
      <alignment horizontal="right"/>
    </xf>
    <xf numFmtId="0" fontId="5" fillId="0" borderId="13" xfId="0" applyFont="1" applyBorder="1"/>
    <xf numFmtId="37" fontId="2" fillId="0" borderId="13" xfId="0" applyNumberFormat="1" applyFont="1" applyBorder="1"/>
    <xf numFmtId="0" fontId="2" fillId="0" borderId="46" xfId="0" applyFont="1" applyBorder="1" applyAlignment="1">
      <alignment horizontal="center"/>
    </xf>
    <xf numFmtId="0" fontId="2" fillId="2" borderId="47" xfId="0" applyFont="1" applyFill="1" applyBorder="1" applyAlignment="1">
      <alignment horizontal="center"/>
    </xf>
    <xf numFmtId="0" fontId="2" fillId="3" borderId="48" xfId="0" applyFont="1" applyFill="1" applyBorder="1" applyAlignment="1">
      <alignment horizontal="center"/>
    </xf>
    <xf numFmtId="0" fontId="2" fillId="0" borderId="49" xfId="0" applyFont="1" applyBorder="1" applyAlignment="1">
      <alignment horizontal="center"/>
    </xf>
    <xf numFmtId="0" fontId="2" fillId="3" borderId="50" xfId="0" applyFont="1" applyFill="1" applyBorder="1" applyAlignment="1">
      <alignment horizontal="center"/>
    </xf>
    <xf numFmtId="164" fontId="0" fillId="0" borderId="36" xfId="1" applyNumberFormat="1" applyFont="1" applyBorder="1"/>
    <xf numFmtId="164" fontId="0" fillId="3" borderId="51" xfId="1" applyNumberFormat="1" applyFont="1" applyFill="1" applyBorder="1"/>
    <xf numFmtId="37" fontId="0" fillId="0" borderId="36" xfId="1" applyNumberFormat="1" applyFont="1" applyBorder="1"/>
    <xf numFmtId="37" fontId="0" fillId="3" borderId="51" xfId="1" applyNumberFormat="1" applyFont="1" applyFill="1" applyBorder="1"/>
    <xf numFmtId="37" fontId="0" fillId="0" borderId="36" xfId="1" applyNumberFormat="1" applyFont="1" applyFill="1" applyBorder="1"/>
    <xf numFmtId="164" fontId="2" fillId="0" borderId="36" xfId="1" applyNumberFormat="1" applyFont="1" applyBorder="1" applyAlignment="1">
      <alignment horizontal="right"/>
    </xf>
    <xf numFmtId="164" fontId="2" fillId="3" borderId="51" xfId="1" applyNumberFormat="1" applyFont="1" applyFill="1" applyBorder="1" applyAlignment="1">
      <alignment horizontal="right"/>
    </xf>
    <xf numFmtId="164" fontId="0" fillId="0" borderId="36" xfId="1" applyNumberFormat="1" applyFont="1" applyBorder="1" applyAlignment="1">
      <alignment horizontal="right"/>
    </xf>
    <xf numFmtId="164" fontId="0" fillId="3" borderId="51" xfId="1" applyNumberFormat="1" applyFont="1" applyFill="1" applyBorder="1" applyAlignment="1">
      <alignment horizontal="right"/>
    </xf>
    <xf numFmtId="0" fontId="0" fillId="0" borderId="7" xfId="0" applyBorder="1"/>
    <xf numFmtId="37" fontId="0" fillId="0" borderId="7" xfId="1" applyNumberFormat="1" applyFont="1" applyBorder="1"/>
    <xf numFmtId="37" fontId="0" fillId="0" borderId="7" xfId="1" applyNumberFormat="1" applyFont="1" applyFill="1" applyBorder="1"/>
    <xf numFmtId="37" fontId="0" fillId="0" borderId="7" xfId="0" applyNumberFormat="1" applyBorder="1"/>
    <xf numFmtId="164" fontId="0" fillId="0" borderId="7" xfId="1" applyNumberFormat="1" applyFont="1" applyBorder="1" applyAlignment="1">
      <alignment horizontal="right"/>
    </xf>
    <xf numFmtId="0" fontId="2" fillId="0" borderId="52" xfId="0" applyFont="1" applyBorder="1" applyAlignment="1">
      <alignment horizontal="center"/>
    </xf>
    <xf numFmtId="39" fontId="0" fillId="0" borderId="7" xfId="0" applyNumberFormat="1" applyBorder="1"/>
    <xf numFmtId="164" fontId="0" fillId="0" borderId="7" xfId="1" applyNumberFormat="1" applyFont="1" applyBorder="1"/>
    <xf numFmtId="0" fontId="1" fillId="0" borderId="6" xfId="0" applyFont="1" applyBorder="1"/>
    <xf numFmtId="0" fontId="1" fillId="0" borderId="0" xfId="0" applyFont="1" applyAlignment="1">
      <alignment horizontal="left"/>
    </xf>
    <xf numFmtId="0" fontId="2" fillId="0" borderId="38" xfId="0" applyFont="1" applyBorder="1"/>
    <xf numFmtId="0" fontId="2" fillId="0" borderId="36" xfId="0" applyFont="1" applyBorder="1" applyAlignment="1">
      <alignment horizontal="right"/>
    </xf>
    <xf numFmtId="0" fontId="1" fillId="0" borderId="13" xfId="0" applyFont="1" applyBorder="1"/>
    <xf numFmtId="164" fontId="10" fillId="0" borderId="8" xfId="1" applyNumberFormat="1" applyFont="1" applyBorder="1" applyAlignment="1">
      <alignment horizontal="right"/>
    </xf>
    <xf numFmtId="164" fontId="10" fillId="0" borderId="56" xfId="1" applyNumberFormat="1" applyFont="1" applyBorder="1" applyAlignment="1">
      <alignment horizontal="right"/>
    </xf>
    <xf numFmtId="0" fontId="10" fillId="0" borderId="8" xfId="0" applyFont="1" applyBorder="1" applyAlignment="1">
      <alignment horizontal="right"/>
    </xf>
    <xf numFmtId="37" fontId="10" fillId="0" borderId="8" xfId="0" applyNumberFormat="1" applyFont="1" applyBorder="1" applyAlignment="1">
      <alignment horizontal="right"/>
    </xf>
    <xf numFmtId="166" fontId="10" fillId="0" borderId="8" xfId="0" applyNumberFormat="1" applyFont="1" applyBorder="1" applyAlignment="1">
      <alignment horizontal="right"/>
    </xf>
    <xf numFmtId="1" fontId="10" fillId="0" borderId="8" xfId="1" applyNumberFormat="1" applyFont="1" applyBorder="1" applyAlignment="1">
      <alignment horizontal="right"/>
    </xf>
    <xf numFmtId="166" fontId="10" fillId="0" borderId="0" xfId="0" applyNumberFormat="1" applyFont="1" applyAlignment="1">
      <alignment horizontal="right"/>
    </xf>
    <xf numFmtId="1" fontId="10" fillId="0" borderId="0" xfId="1" applyNumberFormat="1" applyFont="1" applyBorder="1" applyAlignment="1">
      <alignment horizontal="right"/>
    </xf>
    <xf numFmtId="166" fontId="2" fillId="0" borderId="0" xfId="0" applyNumberFormat="1" applyFont="1" applyAlignment="1">
      <alignment horizontal="center"/>
    </xf>
    <xf numFmtId="1" fontId="2" fillId="0" borderId="0" xfId="1" applyNumberFormat="1" applyFont="1" applyBorder="1" applyAlignment="1">
      <alignment horizontal="center"/>
    </xf>
    <xf numFmtId="0" fontId="10" fillId="0" borderId="5" xfId="0" applyFont="1" applyBorder="1" applyAlignment="1">
      <alignment horizontal="right"/>
    </xf>
    <xf numFmtId="164" fontId="10" fillId="0" borderId="5" xfId="1" applyNumberFormat="1" applyFont="1" applyBorder="1" applyAlignment="1">
      <alignment horizontal="right"/>
    </xf>
    <xf numFmtId="166" fontId="10" fillId="0" borderId="5" xfId="0" applyNumberFormat="1" applyFont="1" applyBorder="1" applyAlignment="1">
      <alignment horizontal="right"/>
    </xf>
    <xf numFmtId="1" fontId="10" fillId="0" borderId="5" xfId="1" applyNumberFormat="1" applyFont="1" applyBorder="1" applyAlignment="1">
      <alignment horizontal="right"/>
    </xf>
    <xf numFmtId="0" fontId="1" fillId="0" borderId="0" xfId="3"/>
    <xf numFmtId="0" fontId="1" fillId="0" borderId="0" xfId="3" applyAlignment="1">
      <alignment horizontal="left"/>
    </xf>
    <xf numFmtId="0" fontId="1" fillId="0" borderId="0" xfId="3" applyAlignment="1">
      <alignment horizontal="right"/>
    </xf>
    <xf numFmtId="0" fontId="1" fillId="0" borderId="0" xfId="3" applyAlignment="1">
      <alignment horizontal="center"/>
    </xf>
    <xf numFmtId="0" fontId="2" fillId="0" borderId="0" xfId="3" applyFont="1"/>
    <xf numFmtId="0" fontId="2" fillId="0" borderId="0" xfId="3" applyFont="1" applyAlignment="1">
      <alignment horizontal="center"/>
    </xf>
    <xf numFmtId="9" fontId="1" fillId="0" borderId="0" xfId="2" applyAlignment="1">
      <alignment horizontal="right"/>
    </xf>
    <xf numFmtId="0" fontId="2" fillId="0" borderId="0" xfId="3" applyFont="1" applyAlignment="1">
      <alignment horizontal="left"/>
    </xf>
    <xf numFmtId="0" fontId="1" fillId="0" borderId="0" xfId="3" quotePrefix="1" applyAlignment="1">
      <alignment horizontal="center"/>
    </xf>
    <xf numFmtId="167" fontId="1" fillId="0" borderId="0" xfId="2" applyNumberFormat="1" applyAlignment="1">
      <alignment horizontal="right"/>
    </xf>
    <xf numFmtId="0" fontId="2" fillId="0" borderId="0" xfId="3" quotePrefix="1" applyFont="1" applyAlignment="1">
      <alignment horizontal="center"/>
    </xf>
    <xf numFmtId="164" fontId="0" fillId="0" borderId="0" xfId="1" applyNumberFormat="1" applyFont="1" applyAlignment="1">
      <alignment horizontal="right"/>
    </xf>
    <xf numFmtId="9" fontId="0" fillId="0" borderId="0" xfId="2" applyFont="1" applyAlignment="1">
      <alignment horizontal="right"/>
    </xf>
    <xf numFmtId="164" fontId="1" fillId="0" borderId="0" xfId="1" applyNumberFormat="1" applyAlignment="1">
      <alignment horizontal="right"/>
    </xf>
    <xf numFmtId="164" fontId="1" fillId="0" borderId="57" xfId="1" applyNumberFormat="1" applyFill="1" applyBorder="1" applyAlignment="1">
      <alignment horizontal="right"/>
    </xf>
    <xf numFmtId="164" fontId="1" fillId="0" borderId="0" xfId="1" applyNumberFormat="1" applyFill="1" applyBorder="1" applyAlignment="1">
      <alignment horizontal="right"/>
    </xf>
    <xf numFmtId="164" fontId="11" fillId="0" borderId="0" xfId="1" applyNumberFormat="1" applyFont="1" applyFill="1" applyAlignment="1">
      <alignment horizontal="right"/>
    </xf>
    <xf numFmtId="9" fontId="11" fillId="0" borderId="0" xfId="2" applyFont="1" applyFill="1" applyAlignment="1">
      <alignment horizontal="right"/>
    </xf>
    <xf numFmtId="0" fontId="11" fillId="0" borderId="0" xfId="3" applyFont="1"/>
    <xf numFmtId="0" fontId="11" fillId="0" borderId="0" xfId="3" applyFont="1" applyAlignment="1">
      <alignment horizontal="left"/>
    </xf>
    <xf numFmtId="0" fontId="12" fillId="0" borderId="0" xfId="3" applyFont="1"/>
    <xf numFmtId="0" fontId="4" fillId="0" borderId="0" xfId="3" applyFont="1"/>
    <xf numFmtId="0" fontId="13" fillId="0" borderId="0" xfId="3" applyFont="1" applyAlignment="1">
      <alignment horizontal="center"/>
    </xf>
    <xf numFmtId="0" fontId="13" fillId="0" borderId="0" xfId="3" applyFont="1" applyAlignment="1">
      <alignment horizontal="right"/>
    </xf>
    <xf numFmtId="0" fontId="2" fillId="0" borderId="0" xfId="3" applyFont="1" applyAlignment="1">
      <alignment horizontal="right"/>
    </xf>
    <xf numFmtId="0" fontId="9" fillId="0" borderId="0" xfId="3" applyFont="1" applyAlignment="1">
      <alignment horizontal="left"/>
    </xf>
    <xf numFmtId="0" fontId="14" fillId="0" borderId="0" xfId="3" applyFont="1"/>
    <xf numFmtId="0" fontId="14" fillId="0" borderId="0" xfId="3" applyFont="1" applyAlignment="1">
      <alignment horizontal="right"/>
    </xf>
    <xf numFmtId="37" fontId="2" fillId="7" borderId="27" xfId="1" applyNumberFormat="1" applyFont="1" applyFill="1" applyBorder="1" applyAlignment="1">
      <alignment horizontal="right"/>
    </xf>
    <xf numFmtId="37" fontId="2" fillId="7" borderId="58" xfId="1" applyNumberFormat="1" applyFont="1" applyFill="1" applyBorder="1" applyAlignment="1">
      <alignment horizontal="right"/>
    </xf>
    <xf numFmtId="37" fontId="2" fillId="0" borderId="21" xfId="1" applyNumberFormat="1" applyFont="1" applyFill="1" applyBorder="1" applyAlignment="1">
      <alignment horizontal="right"/>
    </xf>
    <xf numFmtId="37" fontId="2" fillId="2" borderId="59" xfId="1" applyNumberFormat="1" applyFont="1" applyFill="1" applyBorder="1" applyAlignment="1">
      <alignment horizontal="right"/>
    </xf>
    <xf numFmtId="37" fontId="2" fillId="3" borderId="29" xfId="1" applyNumberFormat="1" applyFont="1" applyFill="1" applyBorder="1" applyAlignment="1">
      <alignment horizontal="right"/>
    </xf>
    <xf numFmtId="37" fontId="0" fillId="0" borderId="60" xfId="1" applyNumberFormat="1" applyFont="1" applyFill="1" applyBorder="1" applyAlignment="1">
      <alignment horizontal="right"/>
    </xf>
    <xf numFmtId="37" fontId="0" fillId="2" borderId="61" xfId="1" applyNumberFormat="1" applyFont="1" applyFill="1" applyBorder="1" applyAlignment="1">
      <alignment horizontal="right"/>
    </xf>
    <xf numFmtId="37" fontId="0" fillId="3" borderId="62" xfId="1" applyNumberFormat="1" applyFont="1" applyFill="1" applyBorder="1" applyAlignment="1">
      <alignment horizontal="right"/>
    </xf>
    <xf numFmtId="37" fontId="0" fillId="0" borderId="60" xfId="0" applyNumberFormat="1" applyBorder="1" applyAlignment="1">
      <alignment horizontal="right"/>
    </xf>
    <xf numFmtId="0" fontId="1" fillId="0" borderId="0" xfId="0" quotePrefix="1" applyFont="1"/>
    <xf numFmtId="37" fontId="2" fillId="2" borderId="11" xfId="1" applyNumberFormat="1" applyFont="1" applyFill="1" applyBorder="1" applyAlignment="1">
      <alignment horizontal="right"/>
    </xf>
    <xf numFmtId="37" fontId="0" fillId="7" borderId="24" xfId="1" applyNumberFormat="1" applyFont="1" applyFill="1" applyBorder="1" applyAlignment="1">
      <alignment horizontal="right"/>
    </xf>
    <xf numFmtId="0" fontId="2" fillId="0" borderId="5" xfId="0" applyFont="1" applyBorder="1" applyAlignment="1">
      <alignment horizontal="left"/>
    </xf>
    <xf numFmtId="37" fontId="2" fillId="0" borderId="17" xfId="1" applyNumberFormat="1" applyFont="1" applyFill="1" applyBorder="1" applyAlignment="1">
      <alignment horizontal="right"/>
    </xf>
    <xf numFmtId="37" fontId="2" fillId="2" borderId="5" xfId="1" applyNumberFormat="1" applyFont="1" applyFill="1" applyBorder="1" applyAlignment="1">
      <alignment horizontal="right"/>
    </xf>
    <xf numFmtId="37" fontId="2" fillId="3" borderId="18" xfId="1" applyNumberFormat="1" applyFont="1" applyFill="1" applyBorder="1" applyAlignment="1">
      <alignment horizontal="right"/>
    </xf>
    <xf numFmtId="37" fontId="2" fillId="0" borderId="17" xfId="0" applyNumberFormat="1" applyFont="1" applyBorder="1" applyAlignment="1">
      <alignment horizontal="right"/>
    </xf>
    <xf numFmtId="37" fontId="2" fillId="2" borderId="5" xfId="0" applyNumberFormat="1" applyFont="1" applyFill="1" applyBorder="1" applyAlignment="1">
      <alignment horizontal="right"/>
    </xf>
    <xf numFmtId="37" fontId="2" fillId="0" borderId="17" xfId="1" applyNumberFormat="1" applyFont="1" applyBorder="1" applyAlignment="1">
      <alignment horizontal="right"/>
    </xf>
    <xf numFmtId="37" fontId="2" fillId="2" borderId="10" xfId="1" applyNumberFormat="1" applyFont="1" applyFill="1" applyBorder="1" applyAlignment="1">
      <alignment horizontal="right"/>
    </xf>
    <xf numFmtId="0" fontId="2" fillId="0" borderId="0" xfId="0" applyFont="1" applyAlignment="1">
      <alignment horizont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5" borderId="34" xfId="0" applyFont="1" applyFill="1" applyBorder="1" applyAlignment="1">
      <alignment horizontal="center"/>
    </xf>
    <xf numFmtId="0" fontId="2" fillId="5" borderId="31" xfId="0" applyFont="1" applyFill="1" applyBorder="1" applyAlignment="1">
      <alignment horizontal="center"/>
    </xf>
    <xf numFmtId="0" fontId="2" fillId="5" borderId="33" xfId="0" applyFont="1" applyFill="1" applyBorder="1" applyAlignment="1">
      <alignment horizontal="center"/>
    </xf>
    <xf numFmtId="0" fontId="2" fillId="6" borderId="34" xfId="0" applyFont="1" applyFill="1" applyBorder="1" applyAlignment="1">
      <alignment horizontal="center"/>
    </xf>
    <xf numFmtId="0" fontId="2" fillId="6" borderId="31" xfId="0" applyFont="1" applyFill="1" applyBorder="1" applyAlignment="1">
      <alignment horizontal="center"/>
    </xf>
    <xf numFmtId="0" fontId="2" fillId="6" borderId="33" xfId="0" applyFont="1" applyFill="1" applyBorder="1" applyAlignment="1">
      <alignment horizontal="center"/>
    </xf>
    <xf numFmtId="0" fontId="2" fillId="0" borderId="36" xfId="0" applyFont="1" applyBorder="1" applyAlignment="1">
      <alignment horizontal="left"/>
    </xf>
    <xf numFmtId="0" fontId="2" fillId="0" borderId="5" xfId="0" applyFont="1" applyBorder="1" applyAlignment="1">
      <alignment horizontal="left"/>
    </xf>
    <xf numFmtId="0" fontId="6" fillId="0" borderId="0" xfId="0" applyFont="1" applyAlignment="1">
      <alignment horizontal="center"/>
    </xf>
    <xf numFmtId="0" fontId="2" fillId="4" borderId="32" xfId="0" applyFont="1" applyFill="1" applyBorder="1" applyAlignment="1">
      <alignment horizontal="center"/>
    </xf>
    <xf numFmtId="0" fontId="2" fillId="4" borderId="31" xfId="0" applyFont="1" applyFill="1" applyBorder="1" applyAlignment="1">
      <alignment horizontal="center"/>
    </xf>
    <xf numFmtId="0" fontId="2" fillId="0" borderId="8" xfId="0" applyFont="1" applyBorder="1" applyAlignment="1">
      <alignment horizontal="left" shrinkToFit="1"/>
    </xf>
    <xf numFmtId="0" fontId="0" fillId="0" borderId="0" xfId="0" applyAlignment="1">
      <alignment horizontal="left"/>
    </xf>
    <xf numFmtId="0" fontId="2" fillId="0" borderId="8" xfId="0" applyFont="1" applyBorder="1" applyAlignment="1">
      <alignment horizontal="left"/>
    </xf>
    <xf numFmtId="0" fontId="2" fillId="0" borderId="56"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left" shrinkToFit="1"/>
    </xf>
    <xf numFmtId="0" fontId="0" fillId="0" borderId="5" xfId="0" applyBorder="1" applyAlignment="1">
      <alignment horizontal="left"/>
    </xf>
    <xf numFmtId="0" fontId="2" fillId="0" borderId="44" xfId="0" applyFont="1" applyBorder="1" applyAlignment="1">
      <alignment horizontal="center"/>
    </xf>
    <xf numFmtId="0" fontId="2" fillId="0" borderId="30" xfId="0" applyFont="1" applyBorder="1" applyAlignment="1">
      <alignment horizontal="center"/>
    </xf>
    <xf numFmtId="0" fontId="2" fillId="0" borderId="45"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55" xfId="0" applyFont="1" applyBorder="1" applyAlignment="1">
      <alignment horizontal="center"/>
    </xf>
    <xf numFmtId="0" fontId="2" fillId="0" borderId="0" xfId="3" applyFont="1" applyAlignment="1">
      <alignment horizontal="center"/>
    </xf>
    <xf numFmtId="0" fontId="1" fillId="0" borderId="5" xfId="0" applyFont="1" applyBorder="1"/>
    <xf numFmtId="0" fontId="1" fillId="0" borderId="5" xfId="0" applyFont="1" applyBorder="1" applyAlignment="1">
      <alignment horizontal="left"/>
    </xf>
    <xf numFmtId="37" fontId="1" fillId="0" borderId="17" xfId="1" applyNumberFormat="1" applyFont="1" applyFill="1" applyBorder="1" applyAlignment="1">
      <alignment horizontal="right"/>
    </xf>
    <xf numFmtId="0" fontId="1" fillId="0" borderId="37" xfId="0" applyFont="1" applyBorder="1" applyAlignment="1">
      <alignment horizontal="left"/>
    </xf>
    <xf numFmtId="37" fontId="1" fillId="0" borderId="60" xfId="1" applyNumberFormat="1" applyFont="1" applyFill="1" applyBorder="1" applyAlignment="1">
      <alignment horizontal="right"/>
    </xf>
    <xf numFmtId="37" fontId="1" fillId="7" borderId="5" xfId="0" applyNumberFormat="1" applyFont="1" applyFill="1" applyBorder="1" applyAlignment="1">
      <alignment horizontal="right"/>
    </xf>
  </cellXfs>
  <cellStyles count="4">
    <cellStyle name="Comma" xfId="1" builtinId="3"/>
    <cellStyle name="Normal" xfId="0" builtinId="0"/>
    <cellStyle name="Normal 2" xfId="3" xr:uid="{B0B54C1D-2D20-425E-84B5-6EDFAB098602}"/>
    <cellStyle name="Percent" xfId="2" builtinId="5"/>
  </cellStyles>
  <dxfs count="0"/>
  <tableStyles count="0" defaultTableStyle="TableStyleMedium2" defaultPivotStyle="PivotStyleLight16"/>
  <colors>
    <mruColors>
      <color rgb="FF00AC4E"/>
      <color rgb="FFFEFFE5"/>
      <color rgb="FFFB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24"/>
  <sheetViews>
    <sheetView topLeftCell="E1" workbookViewId="0">
      <pane ySplit="13" topLeftCell="A48" activePane="bottomLeft" state="frozen"/>
      <selection pane="bottomLeft" activeCell="F8" sqref="F8:F9"/>
    </sheetView>
  </sheetViews>
  <sheetFormatPr defaultRowHeight="12.75"/>
  <cols>
    <col min="1" max="1" width="3.42578125" customWidth="1"/>
    <col min="2" max="2" width="41.7109375" customWidth="1"/>
    <col min="3" max="3" width="11.140625" customWidth="1"/>
    <col min="4" max="5" width="12" customWidth="1"/>
    <col min="6" max="6" width="9.7109375" customWidth="1"/>
    <col min="7" max="8" width="11.28515625" customWidth="1"/>
    <col min="9" max="9" width="12.5703125" customWidth="1"/>
    <col min="10" max="11" width="12.28515625" customWidth="1"/>
    <col min="12" max="12" width="10.28515625" customWidth="1"/>
    <col min="13" max="14" width="11.5703125" customWidth="1"/>
    <col min="15" max="15" width="9.7109375" customWidth="1"/>
    <col min="16" max="17" width="11.28515625" customWidth="1"/>
    <col min="18" max="20" width="12.7109375" customWidth="1"/>
    <col min="21" max="21" width="38.7109375" style="8" customWidth="1"/>
  </cols>
  <sheetData>
    <row r="1" spans="1:21" ht="15.75">
      <c r="A1" s="217" t="s">
        <v>0</v>
      </c>
      <c r="B1" s="217"/>
      <c r="C1" s="217"/>
      <c r="D1" s="217"/>
      <c r="E1" s="217"/>
      <c r="F1" s="217"/>
      <c r="G1" s="217"/>
      <c r="H1" s="217"/>
      <c r="I1" s="217"/>
      <c r="J1" s="217"/>
      <c r="K1" s="217"/>
      <c r="L1" s="217"/>
      <c r="M1" s="217"/>
      <c r="N1" s="217"/>
      <c r="O1" s="217"/>
      <c r="P1" s="217"/>
      <c r="Q1" s="217"/>
      <c r="R1" s="217"/>
      <c r="S1" s="217"/>
      <c r="T1" s="217"/>
      <c r="U1" s="217"/>
    </row>
    <row r="2" spans="1:21">
      <c r="A2" s="109" t="s">
        <v>1</v>
      </c>
      <c r="B2" s="2"/>
      <c r="C2" s="1"/>
    </row>
    <row r="3" spans="1:21" ht="13.5" thickBot="1">
      <c r="A3" s="36"/>
      <c r="B3" s="36"/>
      <c r="C3" s="151" t="s">
        <v>2</v>
      </c>
      <c r="D3" s="152" t="s">
        <v>3</v>
      </c>
      <c r="E3" s="49"/>
    </row>
    <row r="4" spans="1:21" ht="16.5" thickBot="1">
      <c r="A4" s="220" t="s">
        <v>4</v>
      </c>
      <c r="B4" s="220"/>
      <c r="C4" s="147" t="s">
        <v>5</v>
      </c>
      <c r="D4" s="148">
        <v>2022</v>
      </c>
      <c r="E4" s="49"/>
      <c r="G4" s="108"/>
      <c r="H4" s="108"/>
      <c r="O4" s="50"/>
    </row>
    <row r="5" spans="1:21" ht="14.25" customHeight="1">
      <c r="A5" s="28"/>
      <c r="B5" s="28"/>
      <c r="C5" s="149"/>
      <c r="D5" s="150"/>
      <c r="E5" s="49"/>
      <c r="G5" s="108"/>
      <c r="H5" s="108"/>
      <c r="I5" s="108"/>
      <c r="J5" s="108"/>
      <c r="K5" s="108"/>
      <c r="L5" s="108"/>
      <c r="M5" s="108"/>
      <c r="N5" s="108"/>
      <c r="O5" s="50"/>
    </row>
    <row r="6" spans="1:21" ht="16.5" customHeight="1" thickBot="1">
      <c r="A6" s="221"/>
      <c r="B6" s="221"/>
      <c r="C6" s="38" t="s">
        <v>6</v>
      </c>
      <c r="D6" s="38" t="s">
        <v>7</v>
      </c>
      <c r="E6" s="50"/>
      <c r="H6" s="108"/>
      <c r="I6" s="108"/>
      <c r="J6" s="108"/>
      <c r="K6" s="108"/>
      <c r="L6" s="108"/>
      <c r="M6" s="108"/>
      <c r="N6" s="108"/>
    </row>
    <row r="7" spans="1:21" ht="13.5" thickBot="1">
      <c r="A7" s="222" t="s">
        <v>8</v>
      </c>
      <c r="B7" s="222"/>
      <c r="C7" s="145">
        <v>1</v>
      </c>
      <c r="D7" s="145">
        <v>145</v>
      </c>
      <c r="E7" s="50"/>
    </row>
    <row r="8" spans="1:21" ht="51.75" thickBot="1">
      <c r="A8" s="220" t="s">
        <v>9</v>
      </c>
      <c r="B8" s="220"/>
      <c r="C8" s="143">
        <v>56000</v>
      </c>
      <c r="D8" s="146">
        <v>1141000</v>
      </c>
      <c r="E8" s="30"/>
      <c r="F8" s="205" t="s">
        <v>10</v>
      </c>
    </row>
    <row r="9" spans="1:21" ht="13.5" thickBot="1">
      <c r="A9" s="223" t="s">
        <v>11</v>
      </c>
      <c r="B9" s="223"/>
      <c r="C9" s="144">
        <v>725000</v>
      </c>
      <c r="F9" s="146">
        <f>+C9*0.25</f>
        <v>181250</v>
      </c>
    </row>
    <row r="10" spans="1:21" ht="13.5" thickBot="1">
      <c r="A10" s="28"/>
      <c r="B10" s="28"/>
      <c r="C10" s="29"/>
      <c r="D10" s="30"/>
      <c r="E10" s="30"/>
    </row>
    <row r="11" spans="1:21" ht="13.5" thickBot="1">
      <c r="A11" s="218" t="s">
        <v>12</v>
      </c>
      <c r="B11" s="219"/>
      <c r="C11" s="209" t="s">
        <v>13</v>
      </c>
      <c r="D11" s="210"/>
      <c r="E11" s="210"/>
      <c r="F11" s="210"/>
      <c r="G11" s="210"/>
      <c r="H11" s="210"/>
      <c r="I11" s="210"/>
      <c r="J11" s="210"/>
      <c r="K11" s="210"/>
      <c r="L11" s="210"/>
      <c r="M11" s="210"/>
      <c r="N11" s="210"/>
      <c r="O11" s="210"/>
      <c r="P11" s="210"/>
      <c r="Q11" s="211"/>
      <c r="R11" s="212" t="s">
        <v>14</v>
      </c>
      <c r="S11" s="213"/>
      <c r="T11" s="214"/>
      <c r="U11" s="99" t="s">
        <v>15</v>
      </c>
    </row>
    <row r="12" spans="1:21">
      <c r="A12" s="215" t="s">
        <v>16</v>
      </c>
      <c r="B12" s="216"/>
      <c r="C12" s="206" t="s">
        <v>17</v>
      </c>
      <c r="D12" s="207"/>
      <c r="E12" s="208"/>
      <c r="F12" s="206" t="s">
        <v>18</v>
      </c>
      <c r="G12" s="207"/>
      <c r="H12" s="208"/>
      <c r="I12" s="206" t="s">
        <v>19</v>
      </c>
      <c r="J12" s="207" t="s">
        <v>20</v>
      </c>
      <c r="K12" s="208"/>
      <c r="L12" s="206" t="s">
        <v>21</v>
      </c>
      <c r="M12" s="207" t="s">
        <v>22</v>
      </c>
      <c r="N12" s="208"/>
      <c r="O12" s="206" t="s">
        <v>23</v>
      </c>
      <c r="P12" s="207" t="s">
        <v>23</v>
      </c>
      <c r="Q12" s="208"/>
      <c r="R12" s="206" t="s">
        <v>24</v>
      </c>
      <c r="S12" s="207" t="s">
        <v>24</v>
      </c>
      <c r="T12" s="208"/>
      <c r="U12" s="100" t="s">
        <v>25</v>
      </c>
    </row>
    <row r="13" spans="1:21">
      <c r="A13" s="215"/>
      <c r="B13" s="216"/>
      <c r="C13" s="61" t="s">
        <v>26</v>
      </c>
      <c r="D13" s="39" t="s">
        <v>27</v>
      </c>
      <c r="E13" s="62" t="s">
        <v>28</v>
      </c>
      <c r="F13" s="61" t="s">
        <v>26</v>
      </c>
      <c r="G13" s="39" t="s">
        <v>27</v>
      </c>
      <c r="H13" s="62" t="s">
        <v>28</v>
      </c>
      <c r="I13" s="61" t="s">
        <v>26</v>
      </c>
      <c r="J13" s="39" t="s">
        <v>27</v>
      </c>
      <c r="K13" s="62" t="s">
        <v>28</v>
      </c>
      <c r="L13" s="61" t="s">
        <v>26</v>
      </c>
      <c r="M13" s="39" t="s">
        <v>27</v>
      </c>
      <c r="N13" s="62" t="s">
        <v>28</v>
      </c>
      <c r="O13" s="61" t="s">
        <v>26</v>
      </c>
      <c r="P13" s="39" t="s">
        <v>27</v>
      </c>
      <c r="Q13" s="62" t="s">
        <v>28</v>
      </c>
      <c r="R13" s="61" t="s">
        <v>26</v>
      </c>
      <c r="S13" s="39" t="s">
        <v>27</v>
      </c>
      <c r="T13" s="62" t="s">
        <v>28</v>
      </c>
      <c r="U13" s="100"/>
    </row>
    <row r="14" spans="1:21">
      <c r="A14" s="101" t="s">
        <v>29</v>
      </c>
      <c r="B14" s="15"/>
      <c r="C14" s="93"/>
      <c r="D14" s="40"/>
      <c r="E14" s="64"/>
      <c r="F14" s="93"/>
      <c r="G14" s="40"/>
      <c r="H14" s="64"/>
      <c r="I14" s="93"/>
      <c r="J14" s="40"/>
      <c r="K14" s="64"/>
      <c r="L14" s="85"/>
      <c r="M14" s="46"/>
      <c r="N14" s="64"/>
      <c r="O14" s="85"/>
      <c r="P14" s="46"/>
      <c r="Q14" s="64"/>
      <c r="R14" s="63"/>
      <c r="S14" s="46"/>
      <c r="T14" s="64"/>
      <c r="U14" s="102"/>
    </row>
    <row r="15" spans="1:21">
      <c r="A15" s="103" t="s">
        <v>30</v>
      </c>
      <c r="B15" s="20" t="s">
        <v>31</v>
      </c>
      <c r="C15" s="94"/>
      <c r="D15" s="41"/>
      <c r="E15" s="66"/>
      <c r="F15" s="94"/>
      <c r="G15" s="45"/>
      <c r="H15" s="66"/>
      <c r="I15" s="94"/>
      <c r="J15" s="45"/>
      <c r="K15" s="66"/>
      <c r="L15" s="65"/>
      <c r="M15" s="47"/>
      <c r="N15" s="66"/>
      <c r="O15" s="65"/>
      <c r="P15" s="47"/>
      <c r="Q15" s="66"/>
      <c r="R15" s="65"/>
      <c r="S15" s="47"/>
      <c r="T15" s="66"/>
      <c r="U15" s="102"/>
    </row>
    <row r="16" spans="1:21">
      <c r="A16" s="141" t="s">
        <v>32</v>
      </c>
      <c r="B16" s="19" t="s">
        <v>33</v>
      </c>
      <c r="C16" s="86">
        <v>0</v>
      </c>
      <c r="D16" s="42">
        <v>0</v>
      </c>
      <c r="E16" s="68">
        <f>C16+(D16/$D$7)</f>
        <v>0</v>
      </c>
      <c r="F16" s="86">
        <v>0</v>
      </c>
      <c r="G16" s="42">
        <v>0</v>
      </c>
      <c r="H16" s="68">
        <f>F16+(G16/$D$7)</f>
        <v>0</v>
      </c>
      <c r="I16" s="86">
        <v>0</v>
      </c>
      <c r="J16" s="42">
        <v>0</v>
      </c>
      <c r="K16" s="68">
        <f>I16+(J16/$D$7)</f>
        <v>0</v>
      </c>
      <c r="L16" s="86">
        <v>0</v>
      </c>
      <c r="M16" s="42">
        <v>0</v>
      </c>
      <c r="N16" s="68">
        <f>L16+(M16/$D$7)</f>
        <v>0</v>
      </c>
      <c r="O16" s="86">
        <v>0</v>
      </c>
      <c r="P16" s="42">
        <v>0</v>
      </c>
      <c r="Q16" s="68">
        <f>O16+(P16/$D$7)</f>
        <v>0</v>
      </c>
      <c r="R16" s="67">
        <f>C16+F16+I16+L16+O16</f>
        <v>0</v>
      </c>
      <c r="S16" s="42">
        <f>D16+G16+J16+M16+P16</f>
        <v>0</v>
      </c>
      <c r="T16" s="68">
        <f>E16+H16+K16+N16+Q16</f>
        <v>0</v>
      </c>
      <c r="U16" s="102" t="s">
        <v>34</v>
      </c>
    </row>
    <row r="17" spans="1:21">
      <c r="A17" s="141" t="s">
        <v>35</v>
      </c>
      <c r="B17" s="19" t="s">
        <v>36</v>
      </c>
      <c r="C17" s="86">
        <v>0</v>
      </c>
      <c r="D17" s="42">
        <v>0</v>
      </c>
      <c r="E17" s="68">
        <f t="shared" ref="E17:E20" si="0">C17+(D17/$D$7)</f>
        <v>0</v>
      </c>
      <c r="F17" s="86">
        <v>0</v>
      </c>
      <c r="G17" s="42">
        <v>0</v>
      </c>
      <c r="H17" s="68">
        <f t="shared" ref="H17:H20" si="1">F17+(G17/$D$7)</f>
        <v>0</v>
      </c>
      <c r="I17" s="86">
        <v>0</v>
      </c>
      <c r="J17" s="42">
        <v>0</v>
      </c>
      <c r="K17" s="68">
        <f t="shared" ref="K17:K20" si="2">I17+(J17/$D$7)</f>
        <v>0</v>
      </c>
      <c r="L17" s="86">
        <v>0</v>
      </c>
      <c r="M17" s="42">
        <v>0</v>
      </c>
      <c r="N17" s="68">
        <f t="shared" ref="N17:N20" si="3">L17+(M17/$D$7)</f>
        <v>0</v>
      </c>
      <c r="O17" s="86">
        <v>0</v>
      </c>
      <c r="P17" s="42">
        <v>0</v>
      </c>
      <c r="Q17" s="68">
        <f t="shared" ref="Q17:Q20" si="4">O17+(P17/$D$7)</f>
        <v>0</v>
      </c>
      <c r="R17" s="67">
        <f t="shared" ref="R17:R20" si="5">C17+F17+I17+L17+O17</f>
        <v>0</v>
      </c>
      <c r="S17" s="42">
        <f t="shared" ref="S17:T20" si="6">D17+G17+J17+M17+P17</f>
        <v>0</v>
      </c>
      <c r="T17" s="68">
        <f t="shared" si="6"/>
        <v>0</v>
      </c>
      <c r="U17" s="102" t="s">
        <v>34</v>
      </c>
    </row>
    <row r="18" spans="1:21">
      <c r="A18" s="141" t="s">
        <v>37</v>
      </c>
      <c r="B18" s="19" t="s">
        <v>38</v>
      </c>
      <c r="C18" s="86">
        <v>0</v>
      </c>
      <c r="D18" s="42">
        <f>20300000/2</f>
        <v>10150000</v>
      </c>
      <c r="E18" s="68">
        <f t="shared" si="0"/>
        <v>70000</v>
      </c>
      <c r="F18" s="86">
        <v>0</v>
      </c>
      <c r="G18" s="42">
        <v>0</v>
      </c>
      <c r="H18" s="68">
        <f t="shared" si="1"/>
        <v>0</v>
      </c>
      <c r="I18" s="86">
        <v>0</v>
      </c>
      <c r="J18" s="42">
        <v>0</v>
      </c>
      <c r="K18" s="68">
        <f t="shared" si="2"/>
        <v>0</v>
      </c>
      <c r="L18" s="86">
        <v>0</v>
      </c>
      <c r="M18" s="42">
        <v>0</v>
      </c>
      <c r="N18" s="68">
        <f t="shared" si="3"/>
        <v>0</v>
      </c>
      <c r="O18" s="86">
        <v>0</v>
      </c>
      <c r="P18" s="42">
        <v>0</v>
      </c>
      <c r="Q18" s="68">
        <f t="shared" si="4"/>
        <v>0</v>
      </c>
      <c r="R18" s="67">
        <f t="shared" si="5"/>
        <v>0</v>
      </c>
      <c r="S18" s="42">
        <f t="shared" si="6"/>
        <v>10150000</v>
      </c>
      <c r="T18" s="68">
        <f t="shared" si="6"/>
        <v>70000</v>
      </c>
      <c r="U18" s="102" t="s">
        <v>34</v>
      </c>
    </row>
    <row r="19" spans="1:21">
      <c r="A19" s="141" t="s">
        <v>39</v>
      </c>
      <c r="B19" s="19" t="s">
        <v>40</v>
      </c>
      <c r="C19" s="86">
        <v>0</v>
      </c>
      <c r="D19" s="42">
        <v>0</v>
      </c>
      <c r="E19" s="68">
        <f t="shared" si="0"/>
        <v>0</v>
      </c>
      <c r="F19" s="86">
        <v>0</v>
      </c>
      <c r="G19" s="42">
        <v>0</v>
      </c>
      <c r="H19" s="68">
        <f t="shared" si="1"/>
        <v>0</v>
      </c>
      <c r="I19" s="86">
        <v>0</v>
      </c>
      <c r="J19" s="42">
        <v>0</v>
      </c>
      <c r="K19" s="68">
        <f t="shared" si="2"/>
        <v>0</v>
      </c>
      <c r="L19" s="67">
        <v>0</v>
      </c>
      <c r="M19" s="44">
        <v>0</v>
      </c>
      <c r="N19" s="68">
        <f t="shared" si="3"/>
        <v>0</v>
      </c>
      <c r="O19" s="67">
        <v>0</v>
      </c>
      <c r="P19" s="44">
        <v>0</v>
      </c>
      <c r="Q19" s="68">
        <f t="shared" si="4"/>
        <v>0</v>
      </c>
      <c r="R19" s="67">
        <f t="shared" si="5"/>
        <v>0</v>
      </c>
      <c r="S19" s="44">
        <f t="shared" si="6"/>
        <v>0</v>
      </c>
      <c r="T19" s="68">
        <f t="shared" si="6"/>
        <v>0</v>
      </c>
      <c r="U19" s="102" t="s">
        <v>34</v>
      </c>
    </row>
    <row r="20" spans="1:21">
      <c r="A20" s="103"/>
      <c r="B20" s="19" t="s">
        <v>41</v>
      </c>
      <c r="C20" s="86">
        <f>SUM(C16:C19)</f>
        <v>0</v>
      </c>
      <c r="D20" s="42">
        <f t="shared" ref="D20:P20" si="7">SUM(D16:D19)</f>
        <v>10150000</v>
      </c>
      <c r="E20" s="68">
        <f t="shared" si="0"/>
        <v>70000</v>
      </c>
      <c r="F20" s="86">
        <f t="shared" si="7"/>
        <v>0</v>
      </c>
      <c r="G20" s="42">
        <f t="shared" si="7"/>
        <v>0</v>
      </c>
      <c r="H20" s="68">
        <f t="shared" si="1"/>
        <v>0</v>
      </c>
      <c r="I20" s="86">
        <f t="shared" si="7"/>
        <v>0</v>
      </c>
      <c r="J20" s="42">
        <f t="shared" si="7"/>
        <v>0</v>
      </c>
      <c r="K20" s="68">
        <f t="shared" si="2"/>
        <v>0</v>
      </c>
      <c r="L20" s="86">
        <f t="shared" si="7"/>
        <v>0</v>
      </c>
      <c r="M20" s="42">
        <f t="shared" si="7"/>
        <v>0</v>
      </c>
      <c r="N20" s="68">
        <f t="shared" si="3"/>
        <v>0</v>
      </c>
      <c r="O20" s="86">
        <f t="shared" si="7"/>
        <v>0</v>
      </c>
      <c r="P20" s="42">
        <f t="shared" si="7"/>
        <v>0</v>
      </c>
      <c r="Q20" s="68">
        <f t="shared" si="4"/>
        <v>0</v>
      </c>
      <c r="R20" s="67">
        <f t="shared" si="5"/>
        <v>0</v>
      </c>
      <c r="S20" s="42">
        <f t="shared" si="6"/>
        <v>10150000</v>
      </c>
      <c r="T20" s="68">
        <f t="shared" si="6"/>
        <v>70000</v>
      </c>
      <c r="U20" s="102"/>
    </row>
    <row r="21" spans="1:21">
      <c r="A21" s="103" t="s">
        <v>42</v>
      </c>
      <c r="B21" s="20" t="s">
        <v>43</v>
      </c>
      <c r="C21" s="87"/>
      <c r="D21" s="43"/>
      <c r="E21" s="69"/>
      <c r="F21" s="87"/>
      <c r="G21" s="43"/>
      <c r="H21" s="69"/>
      <c r="I21" s="87"/>
      <c r="J21" s="43"/>
      <c r="K21" s="69"/>
      <c r="L21" s="87"/>
      <c r="M21" s="43"/>
      <c r="N21" s="69"/>
      <c r="O21" s="87"/>
      <c r="P21" s="43"/>
      <c r="Q21" s="69"/>
      <c r="R21" s="67"/>
      <c r="S21" s="43"/>
      <c r="T21" s="69"/>
      <c r="U21" s="102"/>
    </row>
    <row r="22" spans="1:21">
      <c r="A22" s="103"/>
      <c r="B22" s="10" t="s">
        <v>41</v>
      </c>
      <c r="C22" s="86">
        <v>22500</v>
      </c>
      <c r="D22" s="42">
        <v>0</v>
      </c>
      <c r="E22" s="68">
        <f>C22+(D22/$D$7)</f>
        <v>22500</v>
      </c>
      <c r="F22" s="86">
        <v>0</v>
      </c>
      <c r="G22" s="42">
        <v>0</v>
      </c>
      <c r="H22" s="68">
        <f>F22+(G22/$D$7)</f>
        <v>0</v>
      </c>
      <c r="I22" s="86">
        <v>0</v>
      </c>
      <c r="J22" s="42">
        <v>0</v>
      </c>
      <c r="K22" s="68">
        <f>I22+(J22/$D$7)</f>
        <v>0</v>
      </c>
      <c r="L22" s="86">
        <v>0</v>
      </c>
      <c r="M22" s="42">
        <v>0</v>
      </c>
      <c r="N22" s="68">
        <f>L22+(M22/$D$7)</f>
        <v>0</v>
      </c>
      <c r="O22" s="86">
        <v>0</v>
      </c>
      <c r="P22" s="42">
        <v>0</v>
      </c>
      <c r="Q22" s="68">
        <f>O22+(P22/$D$7)</f>
        <v>0</v>
      </c>
      <c r="R22" s="67">
        <f>C22+F22+I22+L22+O22</f>
        <v>22500</v>
      </c>
      <c r="S22" s="42">
        <f>D22+G22+J22+M22+P22</f>
        <v>0</v>
      </c>
      <c r="T22" s="68">
        <f>E22+H22+K22+N22+Q22</f>
        <v>22500</v>
      </c>
      <c r="U22" s="102" t="s">
        <v>44</v>
      </c>
    </row>
    <row r="23" spans="1:21">
      <c r="A23" s="103" t="s">
        <v>45</v>
      </c>
      <c r="B23" s="20" t="s">
        <v>46</v>
      </c>
      <c r="C23" s="87"/>
      <c r="D23" s="43"/>
      <c r="E23" s="69"/>
      <c r="F23" s="87"/>
      <c r="G23" s="43"/>
      <c r="H23" s="69"/>
      <c r="I23" s="87"/>
      <c r="J23" s="43"/>
      <c r="K23" s="69"/>
      <c r="L23" s="87"/>
      <c r="M23" s="43"/>
      <c r="N23" s="69"/>
      <c r="O23" s="87"/>
      <c r="P23" s="43"/>
      <c r="Q23" s="69"/>
      <c r="R23" s="67"/>
      <c r="S23" s="43"/>
      <c r="T23" s="69"/>
      <c r="U23" s="102"/>
    </row>
    <row r="24" spans="1:21">
      <c r="A24" s="103"/>
      <c r="B24" s="234" t="s">
        <v>41</v>
      </c>
      <c r="C24" s="76">
        <f>10500/5</f>
        <v>2100</v>
      </c>
      <c r="D24" s="42">
        <f>652500/5</f>
        <v>130500</v>
      </c>
      <c r="E24" s="68">
        <f>C24+(D24/$D$7)</f>
        <v>3000</v>
      </c>
      <c r="F24" s="86">
        <f>10500/5</f>
        <v>2100</v>
      </c>
      <c r="G24" s="42">
        <f>652500/5</f>
        <v>130500</v>
      </c>
      <c r="H24" s="68">
        <f>F24+(G24/$D$7)</f>
        <v>3000</v>
      </c>
      <c r="I24" s="86">
        <f>10500/5</f>
        <v>2100</v>
      </c>
      <c r="J24" s="42">
        <f>652500/5</f>
        <v>130500</v>
      </c>
      <c r="K24" s="68">
        <f>I24+(J24/$D$7)</f>
        <v>3000</v>
      </c>
      <c r="L24" s="86">
        <f>10500/5</f>
        <v>2100</v>
      </c>
      <c r="M24" s="42">
        <f>652500/5</f>
        <v>130500</v>
      </c>
      <c r="N24" s="68">
        <f>L24+(M24/$D$7)</f>
        <v>3000</v>
      </c>
      <c r="O24" s="86">
        <f>10500/5</f>
        <v>2100</v>
      </c>
      <c r="P24" s="42">
        <f>652500/5</f>
        <v>130500</v>
      </c>
      <c r="Q24" s="68">
        <f>O24+(P24/$D$7)</f>
        <v>3000</v>
      </c>
      <c r="R24" s="67">
        <f>C24+F24+I24+L24+O24</f>
        <v>10500</v>
      </c>
      <c r="S24" s="42">
        <f>D24+G24+J24+M24+P24</f>
        <v>652500</v>
      </c>
      <c r="T24" s="68">
        <f>E24+H24+K24+N24+Q24</f>
        <v>15000</v>
      </c>
      <c r="U24" s="102" t="s">
        <v>47</v>
      </c>
    </row>
    <row r="25" spans="1:21" ht="13.5" thickBot="1">
      <c r="A25" s="103"/>
      <c r="B25" s="20"/>
      <c r="C25" s="88"/>
      <c r="D25" s="55"/>
      <c r="E25" s="71"/>
      <c r="F25" s="88"/>
      <c r="G25" s="55"/>
      <c r="H25" s="71"/>
      <c r="I25" s="88"/>
      <c r="J25" s="55"/>
      <c r="K25" s="71"/>
      <c r="L25" s="88"/>
      <c r="M25" s="55"/>
      <c r="N25" s="71"/>
      <c r="O25" s="88"/>
      <c r="P25" s="55"/>
      <c r="Q25" s="71"/>
      <c r="R25" s="70"/>
      <c r="S25" s="55"/>
      <c r="T25" s="71"/>
      <c r="U25" s="102"/>
    </row>
    <row r="26" spans="1:21" ht="13.5" thickBot="1">
      <c r="A26" s="103" t="s">
        <v>48</v>
      </c>
      <c r="B26" s="20" t="s">
        <v>49</v>
      </c>
      <c r="C26" s="72">
        <f>SUM(C15:C25)</f>
        <v>24600</v>
      </c>
      <c r="D26" s="57">
        <f t="shared" ref="D26:T26" si="8">SUM(D15:D25)</f>
        <v>20430500</v>
      </c>
      <c r="E26" s="73">
        <f t="shared" si="8"/>
        <v>165500</v>
      </c>
      <c r="F26" s="72">
        <f t="shared" si="8"/>
        <v>2100</v>
      </c>
      <c r="G26" s="57">
        <f t="shared" si="8"/>
        <v>130500</v>
      </c>
      <c r="H26" s="73">
        <f t="shared" si="8"/>
        <v>3000</v>
      </c>
      <c r="I26" s="72">
        <f t="shared" si="8"/>
        <v>2100</v>
      </c>
      <c r="J26" s="57">
        <f t="shared" si="8"/>
        <v>130500</v>
      </c>
      <c r="K26" s="73">
        <f t="shared" si="8"/>
        <v>3000</v>
      </c>
      <c r="L26" s="72">
        <f t="shared" si="8"/>
        <v>2100</v>
      </c>
      <c r="M26" s="57">
        <f t="shared" si="8"/>
        <v>130500</v>
      </c>
      <c r="N26" s="73">
        <f t="shared" si="8"/>
        <v>3000</v>
      </c>
      <c r="O26" s="72">
        <f t="shared" si="8"/>
        <v>2100</v>
      </c>
      <c r="P26" s="57">
        <f t="shared" si="8"/>
        <v>130500</v>
      </c>
      <c r="Q26" s="73">
        <f t="shared" si="8"/>
        <v>3000</v>
      </c>
      <c r="R26" s="72">
        <f t="shared" si="8"/>
        <v>33000</v>
      </c>
      <c r="S26" s="57">
        <f t="shared" si="8"/>
        <v>20952500</v>
      </c>
      <c r="T26" s="73">
        <f t="shared" si="8"/>
        <v>177500</v>
      </c>
      <c r="U26" s="102"/>
    </row>
    <row r="27" spans="1:21">
      <c r="A27" s="103"/>
      <c r="B27" s="10"/>
      <c r="C27" s="89"/>
      <c r="D27" s="54"/>
      <c r="E27" s="75"/>
      <c r="F27" s="89"/>
      <c r="G27" s="54"/>
      <c r="H27" s="75"/>
      <c r="I27" s="89"/>
      <c r="J27" s="54"/>
      <c r="K27" s="75"/>
      <c r="L27" s="89"/>
      <c r="M27" s="54"/>
      <c r="N27" s="75"/>
      <c r="O27" s="89"/>
      <c r="P27" s="54"/>
      <c r="Q27" s="75"/>
      <c r="R27" s="74"/>
      <c r="S27" s="54"/>
      <c r="T27" s="75"/>
      <c r="U27" s="102"/>
    </row>
    <row r="28" spans="1:21">
      <c r="A28" s="101" t="s">
        <v>50</v>
      </c>
      <c r="B28" s="10"/>
      <c r="C28" s="86"/>
      <c r="D28" s="42"/>
      <c r="E28" s="68"/>
      <c r="F28" s="86"/>
      <c r="G28" s="42"/>
      <c r="H28" s="68"/>
      <c r="I28" s="86"/>
      <c r="J28" s="42"/>
      <c r="K28" s="68"/>
      <c r="L28" s="67"/>
      <c r="M28" s="44"/>
      <c r="N28" s="68"/>
      <c r="O28" s="67"/>
      <c r="P28" s="44"/>
      <c r="Q28" s="68"/>
      <c r="R28" s="67"/>
      <c r="S28" s="44"/>
      <c r="T28" s="68"/>
      <c r="U28" s="102"/>
    </row>
    <row r="29" spans="1:21">
      <c r="A29" s="103" t="s">
        <v>51</v>
      </c>
      <c r="B29" s="20" t="s">
        <v>52</v>
      </c>
      <c r="C29" s="76"/>
      <c r="D29" s="42"/>
      <c r="E29" s="68"/>
      <c r="F29" s="87"/>
      <c r="G29" s="42"/>
      <c r="H29" s="68"/>
      <c r="I29" s="87"/>
      <c r="J29" s="42"/>
      <c r="K29" s="68"/>
      <c r="L29" s="67"/>
      <c r="M29" s="44"/>
      <c r="N29" s="68"/>
      <c r="O29" s="87"/>
      <c r="P29" s="44"/>
      <c r="Q29" s="68"/>
      <c r="R29" s="67"/>
      <c r="S29" s="44"/>
      <c r="T29" s="68"/>
      <c r="U29" s="102"/>
    </row>
    <row r="30" spans="1:21">
      <c r="A30" s="103"/>
      <c r="B30" s="19" t="s">
        <v>53</v>
      </c>
      <c r="C30" s="76">
        <v>-144000</v>
      </c>
      <c r="D30" s="42">
        <v>-5220000</v>
      </c>
      <c r="E30" s="68">
        <f t="shared" ref="E30:E34" si="9">C30+(D30/$D$7)</f>
        <v>-180000</v>
      </c>
      <c r="F30" s="76">
        <v>0</v>
      </c>
      <c r="G30" s="42">
        <v>0</v>
      </c>
      <c r="H30" s="68">
        <f t="shared" ref="H30:H34" si="10">F30+(G30/$D$7)</f>
        <v>0</v>
      </c>
      <c r="I30" s="76">
        <v>0</v>
      </c>
      <c r="J30" s="42">
        <v>0</v>
      </c>
      <c r="K30" s="68">
        <f t="shared" ref="K30:K34" si="11">I30+(J30/$D$7)</f>
        <v>0</v>
      </c>
      <c r="L30" s="76">
        <v>0</v>
      </c>
      <c r="M30" s="42">
        <v>0</v>
      </c>
      <c r="N30" s="68">
        <f t="shared" ref="N30:N34" si="12">L30+(M30/$D$7)</f>
        <v>0</v>
      </c>
      <c r="O30" s="76">
        <v>0</v>
      </c>
      <c r="P30" s="42">
        <v>0</v>
      </c>
      <c r="Q30" s="68">
        <f t="shared" ref="Q30:Q34" si="13">O30+(P30/$D$7)</f>
        <v>0</v>
      </c>
      <c r="R30" s="67">
        <f t="shared" ref="R30:S34" si="14">C30+F30+I30+L30+O30</f>
        <v>-144000</v>
      </c>
      <c r="S30" s="42">
        <f t="shared" si="14"/>
        <v>-5220000</v>
      </c>
      <c r="T30" s="68">
        <f t="shared" ref="T30:T34" si="15">E30+H30+K30+N30+Q30</f>
        <v>-180000</v>
      </c>
      <c r="U30" s="102" t="s">
        <v>54</v>
      </c>
    </row>
    <row r="31" spans="1:21">
      <c r="A31" s="103"/>
      <c r="B31" s="19" t="s">
        <v>55</v>
      </c>
      <c r="C31" s="76">
        <v>-120000</v>
      </c>
      <c r="D31" s="42">
        <v>0</v>
      </c>
      <c r="E31" s="68">
        <f t="shared" si="9"/>
        <v>-120000</v>
      </c>
      <c r="F31" s="76">
        <v>0</v>
      </c>
      <c r="G31" s="42">
        <v>0</v>
      </c>
      <c r="H31" s="68">
        <f t="shared" si="10"/>
        <v>0</v>
      </c>
      <c r="I31" s="76">
        <v>0</v>
      </c>
      <c r="J31" s="42">
        <v>0</v>
      </c>
      <c r="K31" s="68">
        <f t="shared" si="11"/>
        <v>0</v>
      </c>
      <c r="L31" s="76">
        <v>0</v>
      </c>
      <c r="M31" s="42">
        <v>0</v>
      </c>
      <c r="N31" s="68">
        <f t="shared" si="12"/>
        <v>0</v>
      </c>
      <c r="O31" s="76">
        <v>0</v>
      </c>
      <c r="P31" s="42">
        <v>0</v>
      </c>
      <c r="Q31" s="68">
        <f t="shared" si="13"/>
        <v>0</v>
      </c>
      <c r="R31" s="67">
        <f t="shared" si="14"/>
        <v>-120000</v>
      </c>
      <c r="S31" s="42">
        <f t="shared" si="14"/>
        <v>0</v>
      </c>
      <c r="T31" s="68">
        <f t="shared" si="15"/>
        <v>-120000</v>
      </c>
      <c r="U31" s="102" t="s">
        <v>54</v>
      </c>
    </row>
    <row r="32" spans="1:21">
      <c r="A32" s="103"/>
      <c r="B32" s="19" t="s">
        <v>38</v>
      </c>
      <c r="C32" s="76">
        <v>-100000</v>
      </c>
      <c r="D32" s="42">
        <v>-14500000</v>
      </c>
      <c r="E32" s="68">
        <f t="shared" si="9"/>
        <v>-200000</v>
      </c>
      <c r="F32" s="76">
        <v>0</v>
      </c>
      <c r="G32" s="42">
        <v>0</v>
      </c>
      <c r="H32" s="68">
        <f t="shared" si="10"/>
        <v>0</v>
      </c>
      <c r="I32" s="76">
        <v>0</v>
      </c>
      <c r="J32" s="42">
        <v>0</v>
      </c>
      <c r="K32" s="68">
        <f t="shared" si="11"/>
        <v>0</v>
      </c>
      <c r="L32" s="76">
        <v>0</v>
      </c>
      <c r="M32" s="42">
        <v>0</v>
      </c>
      <c r="N32" s="68">
        <f t="shared" si="12"/>
        <v>0</v>
      </c>
      <c r="O32" s="76">
        <v>0</v>
      </c>
      <c r="P32" s="42">
        <v>0</v>
      </c>
      <c r="Q32" s="68">
        <f t="shared" si="13"/>
        <v>0</v>
      </c>
      <c r="R32" s="67">
        <f t="shared" si="14"/>
        <v>-100000</v>
      </c>
      <c r="S32" s="42">
        <f t="shared" si="14"/>
        <v>-14500000</v>
      </c>
      <c r="T32" s="68">
        <f t="shared" si="15"/>
        <v>-200000</v>
      </c>
      <c r="U32" s="102" t="s">
        <v>54</v>
      </c>
    </row>
    <row r="33" spans="1:21">
      <c r="A33" s="103"/>
      <c r="B33" s="19" t="s">
        <v>56</v>
      </c>
      <c r="C33" s="76">
        <v>0</v>
      </c>
      <c r="D33" s="42">
        <v>0</v>
      </c>
      <c r="E33" s="68">
        <f t="shared" si="9"/>
        <v>0</v>
      </c>
      <c r="F33" s="76">
        <v>-75000</v>
      </c>
      <c r="G33" s="42">
        <v>0</v>
      </c>
      <c r="H33" s="68">
        <f t="shared" si="10"/>
        <v>-75000</v>
      </c>
      <c r="I33" s="76">
        <v>-25000</v>
      </c>
      <c r="J33" s="42">
        <v>0</v>
      </c>
      <c r="K33" s="68">
        <f t="shared" si="11"/>
        <v>-25000</v>
      </c>
      <c r="L33" s="67">
        <v>0</v>
      </c>
      <c r="M33" s="44">
        <v>0</v>
      </c>
      <c r="N33" s="68">
        <f t="shared" si="12"/>
        <v>0</v>
      </c>
      <c r="O33" s="67">
        <v>-50000</v>
      </c>
      <c r="P33" s="44">
        <v>0</v>
      </c>
      <c r="Q33" s="68">
        <f t="shared" si="13"/>
        <v>-50000</v>
      </c>
      <c r="R33" s="67">
        <f t="shared" si="14"/>
        <v>-150000</v>
      </c>
      <c r="S33" s="44">
        <f t="shared" si="14"/>
        <v>0</v>
      </c>
      <c r="T33" s="68">
        <f t="shared" si="15"/>
        <v>-150000</v>
      </c>
      <c r="U33" s="102" t="s">
        <v>57</v>
      </c>
    </row>
    <row r="34" spans="1:21">
      <c r="A34" s="103"/>
      <c r="B34" s="197" t="s">
        <v>41</v>
      </c>
      <c r="C34" s="198">
        <f>SUM(C30:C33)</f>
        <v>-364000</v>
      </c>
      <c r="D34" s="199">
        <f t="shared" ref="D34:P34" si="16">SUM(D30:D33)</f>
        <v>-19720000</v>
      </c>
      <c r="E34" s="200">
        <f t="shared" si="9"/>
        <v>-500000</v>
      </c>
      <c r="F34" s="198">
        <f t="shared" si="16"/>
        <v>-75000</v>
      </c>
      <c r="G34" s="199">
        <f t="shared" si="16"/>
        <v>0</v>
      </c>
      <c r="H34" s="200">
        <f t="shared" si="10"/>
        <v>-75000</v>
      </c>
      <c r="I34" s="198">
        <f t="shared" si="16"/>
        <v>-25000</v>
      </c>
      <c r="J34" s="199">
        <f t="shared" si="16"/>
        <v>0</v>
      </c>
      <c r="K34" s="200">
        <f t="shared" si="11"/>
        <v>-25000</v>
      </c>
      <c r="L34" s="198">
        <f t="shared" si="16"/>
        <v>0</v>
      </c>
      <c r="M34" s="199">
        <f t="shared" si="16"/>
        <v>0</v>
      </c>
      <c r="N34" s="200">
        <f t="shared" si="12"/>
        <v>0</v>
      </c>
      <c r="O34" s="198">
        <f t="shared" si="16"/>
        <v>-50000</v>
      </c>
      <c r="P34" s="199">
        <f t="shared" si="16"/>
        <v>0</v>
      </c>
      <c r="Q34" s="200">
        <f t="shared" si="13"/>
        <v>-50000</v>
      </c>
      <c r="R34" s="201">
        <f t="shared" si="14"/>
        <v>-514000</v>
      </c>
      <c r="S34" s="199">
        <f t="shared" si="14"/>
        <v>-19720000</v>
      </c>
      <c r="T34" s="200">
        <f t="shared" si="15"/>
        <v>-650000</v>
      </c>
      <c r="U34" s="102"/>
    </row>
    <row r="35" spans="1:21">
      <c r="A35" s="103" t="s">
        <v>58</v>
      </c>
      <c r="B35" s="20" t="s">
        <v>59</v>
      </c>
      <c r="C35" s="87"/>
      <c r="D35" s="43"/>
      <c r="E35" s="69"/>
      <c r="F35" s="87"/>
      <c r="G35" s="43"/>
      <c r="H35" s="69"/>
      <c r="I35" s="87"/>
      <c r="J35" s="43"/>
      <c r="K35" s="69"/>
      <c r="L35" s="87"/>
      <c r="M35" s="43"/>
      <c r="N35" s="69"/>
      <c r="O35" s="87"/>
      <c r="P35" s="43"/>
      <c r="Q35" s="69"/>
      <c r="R35" s="67"/>
      <c r="S35" s="43"/>
      <c r="T35" s="69"/>
      <c r="U35" s="102"/>
    </row>
    <row r="36" spans="1:21">
      <c r="A36" s="103"/>
      <c r="B36" s="20" t="s">
        <v>41</v>
      </c>
      <c r="C36" s="198">
        <v>0</v>
      </c>
      <c r="D36" s="199">
        <v>-543750</v>
      </c>
      <c r="E36" s="200">
        <f>C36+(D36/$D$7)</f>
        <v>-3750</v>
      </c>
      <c r="F36" s="198">
        <v>-15000</v>
      </c>
      <c r="G36" s="199">
        <v>-418750</v>
      </c>
      <c r="H36" s="200">
        <f>F36+(G36/$D$7)</f>
        <v>-17887.931034482757</v>
      </c>
      <c r="I36" s="198">
        <v>-20000</v>
      </c>
      <c r="J36" s="199">
        <v>-500000</v>
      </c>
      <c r="K36" s="200">
        <f>I36+(J36/$D$7)</f>
        <v>-23448.275862068964</v>
      </c>
      <c r="L36" s="201">
        <v>-5000</v>
      </c>
      <c r="M36" s="202">
        <v>-435000</v>
      </c>
      <c r="N36" s="200">
        <f>L36+(M36/$D$7)</f>
        <v>-8000</v>
      </c>
      <c r="O36" s="201">
        <v>-35000</v>
      </c>
      <c r="P36" s="202">
        <v>-821250</v>
      </c>
      <c r="Q36" s="200">
        <f>O36+(P36/$D$7)</f>
        <v>-40663.793103448275</v>
      </c>
      <c r="R36" s="201">
        <f>C36+F36+I36+L36+O36</f>
        <v>-75000</v>
      </c>
      <c r="S36" s="202">
        <f>D36+G36+J36+M36+P36</f>
        <v>-2718750</v>
      </c>
      <c r="T36" s="200">
        <f>E36+H36+K36+N36+Q36</f>
        <v>-93750</v>
      </c>
      <c r="U36" s="102" t="s">
        <v>47</v>
      </c>
    </row>
    <row r="37" spans="1:21">
      <c r="A37" s="103" t="s">
        <v>60</v>
      </c>
      <c r="B37" s="20" t="s">
        <v>61</v>
      </c>
      <c r="C37" s="87"/>
      <c r="D37" s="43"/>
      <c r="E37" s="69"/>
      <c r="F37" s="87"/>
      <c r="G37" s="43"/>
      <c r="H37" s="69"/>
      <c r="I37" s="87"/>
      <c r="J37" s="43"/>
      <c r="K37" s="69"/>
      <c r="L37" s="87"/>
      <c r="M37" s="43"/>
      <c r="N37" s="69"/>
      <c r="O37" s="87"/>
      <c r="P37" s="43"/>
      <c r="Q37" s="69"/>
      <c r="R37" s="67"/>
      <c r="S37" s="43"/>
      <c r="T37" s="69"/>
      <c r="U37" s="102"/>
    </row>
    <row r="38" spans="1:21">
      <c r="A38" s="103"/>
      <c r="B38" s="235" t="s">
        <v>62</v>
      </c>
      <c r="C38" s="76">
        <v>0</v>
      </c>
      <c r="D38" s="42">
        <v>0</v>
      </c>
      <c r="E38" s="68">
        <f t="shared" ref="E38:E47" si="17">C38+(D38/$D$7)</f>
        <v>0</v>
      </c>
      <c r="F38" s="76">
        <v>0</v>
      </c>
      <c r="G38" s="42">
        <v>0</v>
      </c>
      <c r="H38" s="68">
        <f t="shared" ref="H38:H47" si="18">F38+(G38/$D$7)</f>
        <v>0</v>
      </c>
      <c r="I38" s="76">
        <v>0</v>
      </c>
      <c r="J38" s="42">
        <v>0</v>
      </c>
      <c r="K38" s="68">
        <f t="shared" ref="K38:K47" si="19">I38+(J38/$D$7)</f>
        <v>0</v>
      </c>
      <c r="L38" s="76">
        <v>0</v>
      </c>
      <c r="M38" s="44">
        <v>0</v>
      </c>
      <c r="N38" s="68">
        <f t="shared" ref="N38:N47" si="20">L38+(M38/$D$7)</f>
        <v>0</v>
      </c>
      <c r="O38" s="76">
        <f>R38</f>
        <v>-225000</v>
      </c>
      <c r="P38" s="44">
        <f>S38</f>
        <v>-7612500</v>
      </c>
      <c r="Q38" s="68">
        <f t="shared" ref="Q38:Q47" si="21">O38+(P38/$D$7)</f>
        <v>-277500</v>
      </c>
      <c r="R38" s="67">
        <v>-225000</v>
      </c>
      <c r="S38" s="44">
        <v>-7612500</v>
      </c>
      <c r="T38" s="68">
        <f t="shared" ref="T38:T47" si="22">E38+H38+K38+N38+Q38</f>
        <v>-277500</v>
      </c>
      <c r="U38" s="102" t="s">
        <v>63</v>
      </c>
    </row>
    <row r="39" spans="1:21">
      <c r="A39" s="103"/>
      <c r="B39" s="235" t="s">
        <v>64</v>
      </c>
      <c r="C39" s="76">
        <v>0</v>
      </c>
      <c r="D39" s="42">
        <v>0</v>
      </c>
      <c r="E39" s="68">
        <f t="shared" si="17"/>
        <v>0</v>
      </c>
      <c r="F39" s="76">
        <f>R39/2</f>
        <v>-5000</v>
      </c>
      <c r="G39" s="42">
        <f>S39/2</f>
        <v>-100000</v>
      </c>
      <c r="H39" s="68">
        <f t="shared" si="18"/>
        <v>-5689.6551724137935</v>
      </c>
      <c r="I39" s="76">
        <v>0</v>
      </c>
      <c r="J39" s="42">
        <v>0</v>
      </c>
      <c r="K39" s="68">
        <f t="shared" si="19"/>
        <v>0</v>
      </c>
      <c r="L39" s="76">
        <f>R39/2</f>
        <v>-5000</v>
      </c>
      <c r="M39" s="42">
        <f>S39/2</f>
        <v>-100000</v>
      </c>
      <c r="N39" s="68">
        <f t="shared" si="20"/>
        <v>-5689.6551724137935</v>
      </c>
      <c r="O39" s="76">
        <v>0</v>
      </c>
      <c r="P39" s="42">
        <v>0</v>
      </c>
      <c r="Q39" s="68">
        <f t="shared" si="21"/>
        <v>0</v>
      </c>
      <c r="R39" s="67">
        <v>-10000</v>
      </c>
      <c r="S39" s="42">
        <v>-200000</v>
      </c>
      <c r="T39" s="68">
        <f t="shared" si="22"/>
        <v>-11379.310344827587</v>
      </c>
      <c r="U39" s="102" t="s">
        <v>65</v>
      </c>
    </row>
    <row r="40" spans="1:21">
      <c r="A40" s="103"/>
      <c r="B40" s="235" t="s">
        <v>66</v>
      </c>
      <c r="C40" s="76">
        <f>R40</f>
        <v>0</v>
      </c>
      <c r="D40" s="42">
        <f>S40</f>
        <v>-3625000</v>
      </c>
      <c r="E40" s="68">
        <f t="shared" si="17"/>
        <v>-25000</v>
      </c>
      <c r="F40" s="76">
        <v>0</v>
      </c>
      <c r="G40" s="42">
        <v>0</v>
      </c>
      <c r="H40" s="68">
        <f t="shared" si="18"/>
        <v>0</v>
      </c>
      <c r="I40" s="76">
        <v>0</v>
      </c>
      <c r="J40" s="42">
        <v>0</v>
      </c>
      <c r="K40" s="68">
        <f t="shared" si="19"/>
        <v>0</v>
      </c>
      <c r="L40" s="76">
        <v>0</v>
      </c>
      <c r="M40" s="44">
        <v>0</v>
      </c>
      <c r="N40" s="68">
        <f t="shared" si="20"/>
        <v>0</v>
      </c>
      <c r="O40" s="76">
        <v>0</v>
      </c>
      <c r="P40" s="44">
        <v>0</v>
      </c>
      <c r="Q40" s="68">
        <f t="shared" si="21"/>
        <v>0</v>
      </c>
      <c r="R40" s="67">
        <v>0</v>
      </c>
      <c r="S40" s="44">
        <v>-3625000</v>
      </c>
      <c r="T40" s="68">
        <f t="shared" si="22"/>
        <v>-25000</v>
      </c>
      <c r="U40" s="102" t="s">
        <v>44</v>
      </c>
    </row>
    <row r="41" spans="1:21">
      <c r="A41" s="103"/>
      <c r="B41" s="235" t="s">
        <v>67</v>
      </c>
      <c r="C41" s="76">
        <f>R41</f>
        <v>-15000</v>
      </c>
      <c r="D41" s="42">
        <f>S41</f>
        <v>0</v>
      </c>
      <c r="E41" s="68">
        <f t="shared" si="17"/>
        <v>-15000</v>
      </c>
      <c r="F41" s="76">
        <v>0</v>
      </c>
      <c r="G41" s="42">
        <v>0</v>
      </c>
      <c r="H41" s="68">
        <f t="shared" si="18"/>
        <v>0</v>
      </c>
      <c r="I41" s="76">
        <v>0</v>
      </c>
      <c r="J41" s="42">
        <v>0</v>
      </c>
      <c r="K41" s="68">
        <f t="shared" si="19"/>
        <v>0</v>
      </c>
      <c r="L41" s="76">
        <v>0</v>
      </c>
      <c r="M41" s="44">
        <v>0</v>
      </c>
      <c r="N41" s="68">
        <f t="shared" si="20"/>
        <v>0</v>
      </c>
      <c r="O41" s="76">
        <v>0</v>
      </c>
      <c r="P41" s="44">
        <v>0</v>
      </c>
      <c r="Q41" s="68">
        <f t="shared" si="21"/>
        <v>0</v>
      </c>
      <c r="R41" s="67">
        <v>-15000</v>
      </c>
      <c r="S41" s="44">
        <v>0</v>
      </c>
      <c r="T41" s="68">
        <f t="shared" si="22"/>
        <v>-15000</v>
      </c>
      <c r="U41" s="102" t="s">
        <v>44</v>
      </c>
    </row>
    <row r="42" spans="1:21">
      <c r="A42" s="103"/>
      <c r="B42" s="235" t="s">
        <v>68</v>
      </c>
      <c r="C42" s="76">
        <v>0</v>
      </c>
      <c r="D42" s="42">
        <v>0</v>
      </c>
      <c r="E42" s="68">
        <f t="shared" si="17"/>
        <v>0</v>
      </c>
      <c r="F42" s="76">
        <f>R42</f>
        <v>0</v>
      </c>
      <c r="G42" s="42">
        <f>S42</f>
        <v>-1631250</v>
      </c>
      <c r="H42" s="68">
        <f t="shared" si="18"/>
        <v>-11250</v>
      </c>
      <c r="I42" s="87">
        <v>0</v>
      </c>
      <c r="J42" s="43">
        <v>0</v>
      </c>
      <c r="K42" s="68">
        <f t="shared" si="19"/>
        <v>0</v>
      </c>
      <c r="L42" s="76">
        <v>0</v>
      </c>
      <c r="M42" s="44">
        <v>0</v>
      </c>
      <c r="N42" s="68">
        <f t="shared" si="20"/>
        <v>0</v>
      </c>
      <c r="O42" s="76">
        <v>0</v>
      </c>
      <c r="P42" s="44">
        <v>0</v>
      </c>
      <c r="Q42" s="68">
        <f t="shared" si="21"/>
        <v>0</v>
      </c>
      <c r="R42" s="67">
        <v>0</v>
      </c>
      <c r="S42" s="44">
        <v>-1631250</v>
      </c>
      <c r="T42" s="68">
        <f t="shared" si="22"/>
        <v>-11250</v>
      </c>
      <c r="U42" s="102" t="s">
        <v>18</v>
      </c>
    </row>
    <row r="43" spans="1:21">
      <c r="A43" s="103"/>
      <c r="B43" s="235" t="s">
        <v>69</v>
      </c>
      <c r="C43" s="76">
        <v>0</v>
      </c>
      <c r="D43" s="42">
        <v>0</v>
      </c>
      <c r="E43" s="68">
        <f t="shared" si="17"/>
        <v>0</v>
      </c>
      <c r="F43" s="76">
        <v>0</v>
      </c>
      <c r="G43" s="42">
        <v>0</v>
      </c>
      <c r="H43" s="68">
        <f t="shared" si="18"/>
        <v>0</v>
      </c>
      <c r="I43" s="76">
        <f>R43</f>
        <v>-1500</v>
      </c>
      <c r="J43" s="42">
        <f>S43</f>
        <v>-870000</v>
      </c>
      <c r="K43" s="68">
        <f t="shared" si="19"/>
        <v>-7500</v>
      </c>
      <c r="L43" s="76">
        <v>0</v>
      </c>
      <c r="M43" s="44">
        <v>0</v>
      </c>
      <c r="N43" s="68">
        <f t="shared" si="20"/>
        <v>0</v>
      </c>
      <c r="O43" s="76">
        <v>0</v>
      </c>
      <c r="P43" s="44">
        <v>0</v>
      </c>
      <c r="Q43" s="68">
        <f t="shared" si="21"/>
        <v>0</v>
      </c>
      <c r="R43" s="67">
        <v>-1500</v>
      </c>
      <c r="S43" s="44">
        <v>-870000</v>
      </c>
      <c r="T43" s="68">
        <f t="shared" si="22"/>
        <v>-7500</v>
      </c>
      <c r="U43" s="102" t="s">
        <v>19</v>
      </c>
    </row>
    <row r="44" spans="1:21">
      <c r="A44" s="103"/>
      <c r="B44" s="235" t="s">
        <v>70</v>
      </c>
      <c r="C44" s="76">
        <f>$R$44/5</f>
        <v>-375</v>
      </c>
      <c r="D44" s="42">
        <f>$S$44/5</f>
        <v>-489375</v>
      </c>
      <c r="E44" s="68">
        <f t="shared" si="17"/>
        <v>-3750</v>
      </c>
      <c r="F44" s="76">
        <f>$R$44/5</f>
        <v>-375</v>
      </c>
      <c r="G44" s="42">
        <f>$S$44/5</f>
        <v>-489375</v>
      </c>
      <c r="H44" s="68">
        <f t="shared" si="18"/>
        <v>-3750</v>
      </c>
      <c r="I44" s="76">
        <v>-375</v>
      </c>
      <c r="J44" s="42">
        <f>$S$44/5</f>
        <v>-489375</v>
      </c>
      <c r="K44" s="68">
        <f t="shared" si="19"/>
        <v>-3750</v>
      </c>
      <c r="L44" s="76">
        <f>$R$44/5</f>
        <v>-375</v>
      </c>
      <c r="M44" s="42">
        <f>$S$44/5</f>
        <v>-489375</v>
      </c>
      <c r="N44" s="68">
        <f t="shared" si="20"/>
        <v>-3750</v>
      </c>
      <c r="O44" s="76">
        <f>$R$44/5</f>
        <v>-375</v>
      </c>
      <c r="P44" s="42">
        <f>$S$44/5</f>
        <v>-489375</v>
      </c>
      <c r="Q44" s="68">
        <f t="shared" si="21"/>
        <v>-3750</v>
      </c>
      <c r="R44" s="67">
        <v>-1875</v>
      </c>
      <c r="S44" s="42">
        <v>-2446875</v>
      </c>
      <c r="T44" s="68">
        <f t="shared" si="22"/>
        <v>-18750</v>
      </c>
      <c r="U44" s="102" t="s">
        <v>71</v>
      </c>
    </row>
    <row r="45" spans="1:21">
      <c r="A45" s="103"/>
      <c r="B45" s="235" t="s">
        <v>72</v>
      </c>
      <c r="C45" s="76">
        <v>0</v>
      </c>
      <c r="D45" s="42">
        <v>0</v>
      </c>
      <c r="E45" s="68">
        <f t="shared" si="17"/>
        <v>0</v>
      </c>
      <c r="F45" s="76">
        <f>R45/2</f>
        <v>-2500</v>
      </c>
      <c r="G45" s="42">
        <f>S45/2</f>
        <v>-543750</v>
      </c>
      <c r="H45" s="68">
        <f t="shared" si="18"/>
        <v>-6250</v>
      </c>
      <c r="I45" s="76">
        <v>0</v>
      </c>
      <c r="J45" s="42">
        <v>0</v>
      </c>
      <c r="K45" s="68">
        <f t="shared" si="19"/>
        <v>0</v>
      </c>
      <c r="L45" s="76">
        <f>R45/2</f>
        <v>-2500</v>
      </c>
      <c r="M45" s="42">
        <f>S45/2</f>
        <v>-543750</v>
      </c>
      <c r="N45" s="68">
        <f t="shared" si="20"/>
        <v>-6250</v>
      </c>
      <c r="O45" s="76">
        <v>0</v>
      </c>
      <c r="P45" s="42">
        <v>0</v>
      </c>
      <c r="Q45" s="68">
        <f t="shared" si="21"/>
        <v>0</v>
      </c>
      <c r="R45" s="67">
        <v>-5000</v>
      </c>
      <c r="S45" s="42">
        <v>-1087500</v>
      </c>
      <c r="T45" s="68">
        <f t="shared" si="22"/>
        <v>-12500</v>
      </c>
      <c r="U45" s="102" t="s">
        <v>73</v>
      </c>
    </row>
    <row r="46" spans="1:21">
      <c r="A46" s="103"/>
      <c r="B46" s="10" t="s">
        <v>74</v>
      </c>
      <c r="C46" s="76">
        <f>$R$46/5</f>
        <v>-200</v>
      </c>
      <c r="D46" s="42">
        <f>$S$46/5</f>
        <v>-116000</v>
      </c>
      <c r="E46" s="68">
        <f t="shared" si="17"/>
        <v>-1000</v>
      </c>
      <c r="F46" s="76">
        <f>$R$46/5</f>
        <v>-200</v>
      </c>
      <c r="G46" s="42">
        <f>$S$46/5</f>
        <v>-116000</v>
      </c>
      <c r="H46" s="68">
        <f t="shared" si="18"/>
        <v>-1000</v>
      </c>
      <c r="I46" s="76">
        <f>$R$46/5</f>
        <v>-200</v>
      </c>
      <c r="J46" s="42">
        <f>$S$46/5</f>
        <v>-116000</v>
      </c>
      <c r="K46" s="68">
        <f t="shared" si="19"/>
        <v>-1000</v>
      </c>
      <c r="L46" s="76">
        <f>$R$46/5</f>
        <v>-200</v>
      </c>
      <c r="M46" s="42">
        <f>$S$46/5</f>
        <v>-116000</v>
      </c>
      <c r="N46" s="68">
        <f t="shared" si="20"/>
        <v>-1000</v>
      </c>
      <c r="O46" s="76">
        <f>$R$46/5</f>
        <v>-200</v>
      </c>
      <c r="P46" s="42">
        <f>$S$46/5</f>
        <v>-116000</v>
      </c>
      <c r="Q46" s="68">
        <f t="shared" si="21"/>
        <v>-1000</v>
      </c>
      <c r="R46" s="67">
        <v>-1000</v>
      </c>
      <c r="S46" s="42">
        <v>-580000</v>
      </c>
      <c r="T46" s="68">
        <f t="shared" si="22"/>
        <v>-5000</v>
      </c>
      <c r="U46" s="102" t="s">
        <v>71</v>
      </c>
    </row>
    <row r="47" spans="1:21">
      <c r="A47" s="103"/>
      <c r="B47" s="197" t="s">
        <v>41</v>
      </c>
      <c r="C47" s="198">
        <f>SUM(C38:C46)</f>
        <v>-15575</v>
      </c>
      <c r="D47" s="199">
        <f t="shared" ref="D47:P47" si="23">SUM(D38:D46)</f>
        <v>-4230375</v>
      </c>
      <c r="E47" s="200">
        <f t="shared" si="17"/>
        <v>-44750</v>
      </c>
      <c r="F47" s="198">
        <f t="shared" si="23"/>
        <v>-8075</v>
      </c>
      <c r="G47" s="199">
        <f t="shared" si="23"/>
        <v>-2880375</v>
      </c>
      <c r="H47" s="200">
        <f t="shared" si="18"/>
        <v>-27939.655172413793</v>
      </c>
      <c r="I47" s="198">
        <f t="shared" si="23"/>
        <v>-2075</v>
      </c>
      <c r="J47" s="199">
        <f t="shared" si="23"/>
        <v>-1475375</v>
      </c>
      <c r="K47" s="200">
        <f t="shared" si="19"/>
        <v>-12250</v>
      </c>
      <c r="L47" s="198">
        <f t="shared" si="23"/>
        <v>-8075</v>
      </c>
      <c r="M47" s="199">
        <f t="shared" si="23"/>
        <v>-1249125</v>
      </c>
      <c r="N47" s="200">
        <f t="shared" si="20"/>
        <v>-16689.655172413793</v>
      </c>
      <c r="O47" s="198">
        <f t="shared" si="23"/>
        <v>-225575</v>
      </c>
      <c r="P47" s="199">
        <f t="shared" si="23"/>
        <v>-8217875</v>
      </c>
      <c r="Q47" s="200">
        <f t="shared" si="21"/>
        <v>-282250</v>
      </c>
      <c r="R47" s="198">
        <f>SUM(R38:R46)</f>
        <v>-259375</v>
      </c>
      <c r="S47" s="199">
        <f>SUM(S38:S46)</f>
        <v>-18053125</v>
      </c>
      <c r="T47" s="200">
        <f t="shared" si="22"/>
        <v>-383879.31034482759</v>
      </c>
      <c r="U47" s="102"/>
    </row>
    <row r="48" spans="1:21">
      <c r="A48" s="103" t="s">
        <v>75</v>
      </c>
      <c r="B48" s="20" t="s">
        <v>76</v>
      </c>
      <c r="C48" s="87"/>
      <c r="D48" s="43"/>
      <c r="E48" s="69"/>
      <c r="F48" s="87"/>
      <c r="G48" s="43"/>
      <c r="H48" s="69"/>
      <c r="I48" s="87"/>
      <c r="J48" s="43"/>
      <c r="K48" s="69"/>
      <c r="L48" s="87"/>
      <c r="M48" s="43"/>
      <c r="N48" s="69"/>
      <c r="O48" s="87"/>
      <c r="P48" s="43"/>
      <c r="Q48" s="69"/>
      <c r="R48" s="67"/>
      <c r="S48" s="43"/>
      <c r="T48" s="69"/>
      <c r="U48" s="102"/>
    </row>
    <row r="49" spans="1:21">
      <c r="A49" s="103"/>
      <c r="B49" s="19" t="s">
        <v>77</v>
      </c>
      <c r="C49" s="76">
        <v>-200</v>
      </c>
      <c r="D49" s="42">
        <v>-12000</v>
      </c>
      <c r="E49" s="68">
        <f t="shared" ref="E49:E53" si="24">C49+(D49/$D$7)</f>
        <v>-282.75862068965517</v>
      </c>
      <c r="F49" s="76">
        <v>-200</v>
      </c>
      <c r="G49" s="42">
        <v>-12000</v>
      </c>
      <c r="H49" s="68">
        <f t="shared" ref="H49:H53" si="25">F49+(G49/$D$7)</f>
        <v>-282.75862068965517</v>
      </c>
      <c r="I49" s="76">
        <v>-200</v>
      </c>
      <c r="J49" s="42">
        <v>-12000</v>
      </c>
      <c r="K49" s="68">
        <f t="shared" ref="K49:K53" si="26">I49+(J49/$D$7)</f>
        <v>-282.75862068965517</v>
      </c>
      <c r="L49" s="76">
        <v>-200</v>
      </c>
      <c r="M49" s="42">
        <v>-12000</v>
      </c>
      <c r="N49" s="68">
        <f t="shared" ref="N49:N53" si="27">L49+(M49/$D$7)</f>
        <v>-282.75862068965517</v>
      </c>
      <c r="O49" s="76">
        <v>-200</v>
      </c>
      <c r="P49" s="42">
        <v>-12000</v>
      </c>
      <c r="Q49" s="68">
        <f t="shared" ref="Q49:Q53" si="28">O49+(P49/$D$7)</f>
        <v>-282.75862068965517</v>
      </c>
      <c r="R49" s="67">
        <f t="shared" ref="R49:S52" si="29">C49+F49+I49+L49+O49</f>
        <v>-1000</v>
      </c>
      <c r="S49" s="42">
        <f t="shared" si="29"/>
        <v>-60000</v>
      </c>
      <c r="T49" s="68">
        <f t="shared" ref="T49:T54" si="30">E49+H49+K49+N49+Q49</f>
        <v>-1413.7931034482758</v>
      </c>
      <c r="U49" s="102" t="s">
        <v>57</v>
      </c>
    </row>
    <row r="50" spans="1:21">
      <c r="A50" s="103"/>
      <c r="B50" s="19" t="s">
        <v>78</v>
      </c>
      <c r="C50" s="76">
        <v>-500</v>
      </c>
      <c r="D50" s="42">
        <v>0</v>
      </c>
      <c r="E50" s="68">
        <f t="shared" si="24"/>
        <v>-500</v>
      </c>
      <c r="F50" s="76">
        <v>0</v>
      </c>
      <c r="G50" s="42">
        <v>-31300</v>
      </c>
      <c r="H50" s="68">
        <f t="shared" si="25"/>
        <v>-215.86206896551724</v>
      </c>
      <c r="I50" s="76">
        <v>0</v>
      </c>
      <c r="J50" s="42">
        <v>0</v>
      </c>
      <c r="K50" s="68">
        <f t="shared" si="26"/>
        <v>0</v>
      </c>
      <c r="L50" s="76">
        <v>-3500</v>
      </c>
      <c r="M50" s="42">
        <v>-15500</v>
      </c>
      <c r="N50" s="68">
        <f t="shared" si="27"/>
        <v>-3606.8965517241381</v>
      </c>
      <c r="O50" s="76">
        <v>0</v>
      </c>
      <c r="P50" s="42">
        <v>0</v>
      </c>
      <c r="Q50" s="68">
        <f t="shared" si="28"/>
        <v>0</v>
      </c>
      <c r="R50" s="67">
        <f t="shared" si="29"/>
        <v>-4000</v>
      </c>
      <c r="S50" s="42">
        <f t="shared" si="29"/>
        <v>-46800</v>
      </c>
      <c r="T50" s="68">
        <f t="shared" si="30"/>
        <v>-4322.7586206896558</v>
      </c>
      <c r="U50" s="102" t="s">
        <v>57</v>
      </c>
    </row>
    <row r="51" spans="1:21">
      <c r="A51" s="103"/>
      <c r="B51" s="19" t="s">
        <v>79</v>
      </c>
      <c r="C51" s="76">
        <v>0</v>
      </c>
      <c r="D51" s="42">
        <v>0</v>
      </c>
      <c r="E51" s="68">
        <f t="shared" si="24"/>
        <v>0</v>
      </c>
      <c r="F51" s="76">
        <v>0</v>
      </c>
      <c r="G51" s="42">
        <v>-52200</v>
      </c>
      <c r="H51" s="68">
        <f t="shared" si="25"/>
        <v>-360</v>
      </c>
      <c r="I51" s="76">
        <v>-40</v>
      </c>
      <c r="J51" s="42">
        <v>-52200</v>
      </c>
      <c r="K51" s="68">
        <f t="shared" si="26"/>
        <v>-400</v>
      </c>
      <c r="L51" s="76">
        <v>0</v>
      </c>
      <c r="M51" s="42">
        <v>0</v>
      </c>
      <c r="N51" s="68">
        <f t="shared" si="27"/>
        <v>0</v>
      </c>
      <c r="O51" s="76">
        <v>0</v>
      </c>
      <c r="P51" s="42">
        <v>-52200</v>
      </c>
      <c r="Q51" s="68">
        <f t="shared" si="28"/>
        <v>-360</v>
      </c>
      <c r="R51" s="67">
        <f t="shared" si="29"/>
        <v>-40</v>
      </c>
      <c r="S51" s="42">
        <f t="shared" si="29"/>
        <v>-156600</v>
      </c>
      <c r="T51" s="68">
        <f t="shared" si="30"/>
        <v>-1120</v>
      </c>
      <c r="U51" s="102" t="s">
        <v>57</v>
      </c>
    </row>
    <row r="52" spans="1:21">
      <c r="A52" s="103"/>
      <c r="B52" s="19" t="s">
        <v>74</v>
      </c>
      <c r="C52" s="76">
        <v>-200</v>
      </c>
      <c r="D52" s="42">
        <v>-11000</v>
      </c>
      <c r="E52" s="68">
        <f t="shared" si="24"/>
        <v>-275.86206896551721</v>
      </c>
      <c r="F52" s="76">
        <v>-21800</v>
      </c>
      <c r="G52" s="42">
        <v>-32600</v>
      </c>
      <c r="H52" s="68">
        <f t="shared" si="25"/>
        <v>-22024.827586206895</v>
      </c>
      <c r="I52" s="76">
        <v>-200</v>
      </c>
      <c r="J52" s="42">
        <v>-11000</v>
      </c>
      <c r="K52" s="68">
        <f t="shared" si="26"/>
        <v>-275.86206896551721</v>
      </c>
      <c r="L52" s="76">
        <v>-200</v>
      </c>
      <c r="M52" s="42">
        <v>-11000</v>
      </c>
      <c r="N52" s="68">
        <f t="shared" si="27"/>
        <v>-275.86206896551721</v>
      </c>
      <c r="O52" s="76">
        <v>-200</v>
      </c>
      <c r="P52" s="42">
        <v>-11000</v>
      </c>
      <c r="Q52" s="68">
        <f t="shared" si="28"/>
        <v>-275.86206896551721</v>
      </c>
      <c r="R52" s="67">
        <f t="shared" si="29"/>
        <v>-22600</v>
      </c>
      <c r="S52" s="42">
        <f t="shared" si="29"/>
        <v>-76600</v>
      </c>
      <c r="T52" s="68">
        <f t="shared" si="30"/>
        <v>-23128.275862068967</v>
      </c>
      <c r="U52" s="102" t="s">
        <v>71</v>
      </c>
    </row>
    <row r="53" spans="1:21">
      <c r="A53" s="103"/>
      <c r="B53" s="20" t="s">
        <v>41</v>
      </c>
      <c r="C53" s="198">
        <f>SUM(C49:C52)</f>
        <v>-900</v>
      </c>
      <c r="D53" s="199">
        <f t="shared" ref="D53:P53" si="31">SUM(D49:D52)</f>
        <v>-23000</v>
      </c>
      <c r="E53" s="200">
        <f t="shared" si="24"/>
        <v>-1058.6206896551723</v>
      </c>
      <c r="F53" s="198">
        <f t="shared" si="31"/>
        <v>-22000</v>
      </c>
      <c r="G53" s="199">
        <f t="shared" si="31"/>
        <v>-128100</v>
      </c>
      <c r="H53" s="200">
        <f t="shared" si="25"/>
        <v>-22883.448275862069</v>
      </c>
      <c r="I53" s="198">
        <f t="shared" si="31"/>
        <v>-440</v>
      </c>
      <c r="J53" s="199">
        <f t="shared" si="31"/>
        <v>-75200</v>
      </c>
      <c r="K53" s="200">
        <f t="shared" si="26"/>
        <v>-958.62068965517244</v>
      </c>
      <c r="L53" s="198">
        <f t="shared" si="31"/>
        <v>-3900</v>
      </c>
      <c r="M53" s="199">
        <f t="shared" si="31"/>
        <v>-38500</v>
      </c>
      <c r="N53" s="200">
        <f t="shared" si="27"/>
        <v>-4165.5172413793107</v>
      </c>
      <c r="O53" s="198">
        <f t="shared" si="31"/>
        <v>-400</v>
      </c>
      <c r="P53" s="199">
        <f t="shared" si="31"/>
        <v>-75200</v>
      </c>
      <c r="Q53" s="200">
        <f t="shared" si="28"/>
        <v>-918.62068965517244</v>
      </c>
      <c r="R53" s="198">
        <f>SUM(R49:R52)</f>
        <v>-27640</v>
      </c>
      <c r="S53" s="199">
        <f>SUM(S49:S52)</f>
        <v>-340000</v>
      </c>
      <c r="T53" s="200">
        <f t="shared" si="30"/>
        <v>-29984.827586206902</v>
      </c>
      <c r="U53" s="102"/>
    </row>
    <row r="54" spans="1:21">
      <c r="A54" s="103" t="s">
        <v>80</v>
      </c>
      <c r="B54" s="20" t="s">
        <v>81</v>
      </c>
      <c r="C54" s="203">
        <v>0</v>
      </c>
      <c r="D54" s="199">
        <v>0</v>
      </c>
      <c r="E54" s="200"/>
      <c r="F54" s="203">
        <v>0</v>
      </c>
      <c r="G54" s="199">
        <v>0</v>
      </c>
      <c r="H54" s="200"/>
      <c r="I54" s="203">
        <v>0</v>
      </c>
      <c r="J54" s="199">
        <v>0</v>
      </c>
      <c r="K54" s="200"/>
      <c r="L54" s="203">
        <v>0</v>
      </c>
      <c r="M54" s="199">
        <v>0</v>
      </c>
      <c r="N54" s="200"/>
      <c r="O54" s="203">
        <v>0</v>
      </c>
      <c r="P54" s="199">
        <v>0</v>
      </c>
      <c r="Q54" s="200"/>
      <c r="R54" s="201">
        <f>C54+F54+I54+L54+O54</f>
        <v>0</v>
      </c>
      <c r="S54" s="199">
        <f>D54+G54+J54+M54+P54</f>
        <v>0</v>
      </c>
      <c r="T54" s="200">
        <f t="shared" si="30"/>
        <v>0</v>
      </c>
      <c r="U54" s="102"/>
    </row>
    <row r="55" spans="1:21" ht="13.5" thickBot="1">
      <c r="A55" s="103"/>
      <c r="B55" s="10"/>
      <c r="C55" s="88"/>
      <c r="D55" s="55"/>
      <c r="E55" s="71"/>
      <c r="F55" s="88"/>
      <c r="G55" s="55"/>
      <c r="H55" s="71"/>
      <c r="I55" s="88"/>
      <c r="J55" s="55"/>
      <c r="K55" s="71"/>
      <c r="L55" s="88"/>
      <c r="M55" s="55"/>
      <c r="N55" s="71"/>
      <c r="O55" s="88"/>
      <c r="P55" s="55"/>
      <c r="Q55" s="71"/>
      <c r="R55" s="70"/>
      <c r="S55" s="55"/>
      <c r="T55" s="71"/>
      <c r="U55" s="102"/>
    </row>
    <row r="56" spans="1:21" ht="13.5" thickBot="1">
      <c r="A56" s="103" t="s">
        <v>82</v>
      </c>
      <c r="B56" s="20" t="s">
        <v>83</v>
      </c>
      <c r="C56" s="72">
        <f>C34+C36+C47+C53+C54</f>
        <v>-380475</v>
      </c>
      <c r="D56" s="57">
        <f t="shared" ref="D56:T56" si="32">D34+D36+D47+D53+D54</f>
        <v>-24517125</v>
      </c>
      <c r="E56" s="73">
        <f t="shared" si="32"/>
        <v>-549558.62068965519</v>
      </c>
      <c r="F56" s="72">
        <f t="shared" si="32"/>
        <v>-120075</v>
      </c>
      <c r="G56" s="57">
        <f t="shared" si="32"/>
        <v>-3427225</v>
      </c>
      <c r="H56" s="73">
        <f t="shared" si="32"/>
        <v>-143711.03448275861</v>
      </c>
      <c r="I56" s="72">
        <f t="shared" si="32"/>
        <v>-47515</v>
      </c>
      <c r="J56" s="57">
        <f t="shared" si="32"/>
        <v>-2050575</v>
      </c>
      <c r="K56" s="73">
        <f t="shared" si="32"/>
        <v>-61656.896551724138</v>
      </c>
      <c r="L56" s="72">
        <f t="shared" si="32"/>
        <v>-16975</v>
      </c>
      <c r="M56" s="57">
        <f t="shared" si="32"/>
        <v>-1722625</v>
      </c>
      <c r="N56" s="73">
        <f t="shared" si="32"/>
        <v>-28855.172413793105</v>
      </c>
      <c r="O56" s="72">
        <f t="shared" si="32"/>
        <v>-310975</v>
      </c>
      <c r="P56" s="57">
        <f t="shared" si="32"/>
        <v>-9114325</v>
      </c>
      <c r="Q56" s="73">
        <f t="shared" si="32"/>
        <v>-373832.41379310348</v>
      </c>
      <c r="R56" s="77">
        <f t="shared" si="32"/>
        <v>-876015</v>
      </c>
      <c r="S56" s="57">
        <f t="shared" si="32"/>
        <v>-40831875</v>
      </c>
      <c r="T56" s="68">
        <f t="shared" si="32"/>
        <v>-1157614.1379310344</v>
      </c>
      <c r="U56" s="102"/>
    </row>
    <row r="57" spans="1:21">
      <c r="A57" s="103"/>
      <c r="C57" s="95"/>
      <c r="D57" s="59"/>
      <c r="E57" s="78"/>
      <c r="F57" s="95"/>
      <c r="G57" s="59"/>
      <c r="H57" s="78"/>
      <c r="I57" s="95"/>
      <c r="J57" s="59"/>
      <c r="K57" s="78"/>
      <c r="L57" s="74"/>
      <c r="M57" s="60"/>
      <c r="N57" s="78"/>
      <c r="O57" s="74"/>
      <c r="P57" s="60"/>
      <c r="Q57" s="78"/>
      <c r="R57" s="74"/>
      <c r="S57" s="60"/>
      <c r="T57" s="78"/>
      <c r="U57" s="102"/>
    </row>
    <row r="58" spans="1:21">
      <c r="A58" s="103" t="s">
        <v>84</v>
      </c>
      <c r="B58" s="25" t="s">
        <v>85</v>
      </c>
      <c r="C58" s="86">
        <f t="shared" ref="C58:P58" si="33">C56+C26</f>
        <v>-355875</v>
      </c>
      <c r="D58" s="42">
        <f t="shared" si="33"/>
        <v>-4086625</v>
      </c>
      <c r="E58" s="68">
        <f t="shared" ref="E58:E60" si="34">C58+(D58/$D$7)</f>
        <v>-384058.62068965519</v>
      </c>
      <c r="F58" s="86">
        <f t="shared" si="33"/>
        <v>-117975</v>
      </c>
      <c r="G58" s="42">
        <f t="shared" si="33"/>
        <v>-3296725</v>
      </c>
      <c r="H58" s="68">
        <f t="shared" ref="H58:H60" si="35">F58+(G58/$D$7)</f>
        <v>-140711.03448275861</v>
      </c>
      <c r="I58" s="86">
        <f t="shared" si="33"/>
        <v>-45415</v>
      </c>
      <c r="J58" s="42">
        <f t="shared" si="33"/>
        <v>-1920075</v>
      </c>
      <c r="K58" s="68">
        <f t="shared" ref="K58:K60" si="36">I58+(J58/$D$7)</f>
        <v>-58656.896551724138</v>
      </c>
      <c r="L58" s="86">
        <f t="shared" si="33"/>
        <v>-14875</v>
      </c>
      <c r="M58" s="42">
        <f t="shared" si="33"/>
        <v>-1592125</v>
      </c>
      <c r="N58" s="68">
        <f t="shared" ref="N58:N60" si="37">L58+(M58/$D$7)</f>
        <v>-25855.172413793101</v>
      </c>
      <c r="O58" s="86">
        <f t="shared" si="33"/>
        <v>-308875</v>
      </c>
      <c r="P58" s="42">
        <f t="shared" si="33"/>
        <v>-8983825</v>
      </c>
      <c r="Q58" s="68">
        <f t="shared" ref="Q58:Q60" si="38">O58+(P58/$D$7)</f>
        <v>-370832.41379310342</v>
      </c>
      <c r="R58" s="67">
        <f>C58+F58+I58+L58+O58</f>
        <v>-843015</v>
      </c>
      <c r="S58" s="42">
        <f>D58+G58+J58+M58+P58</f>
        <v>-19879375</v>
      </c>
      <c r="T58" s="68">
        <f t="shared" ref="T58" si="39">E58+H58+K58+N58+Q58</f>
        <v>-980114.13793103455</v>
      </c>
      <c r="U58" s="102"/>
    </row>
    <row r="59" spans="1:21" ht="13.5" thickBot="1">
      <c r="A59" s="103" t="s">
        <v>86</v>
      </c>
      <c r="B59" s="10" t="s">
        <v>87</v>
      </c>
      <c r="C59" s="98">
        <f>C8</f>
        <v>56000</v>
      </c>
      <c r="D59" s="204">
        <f>D8</f>
        <v>1141000</v>
      </c>
      <c r="E59" s="71">
        <f t="shared" si="34"/>
        <v>63868.965517241377</v>
      </c>
      <c r="F59" s="70">
        <f>C66</f>
        <v>87656</v>
      </c>
      <c r="G59" s="56">
        <f>D66</f>
        <v>9931000</v>
      </c>
      <c r="H59" s="71">
        <f t="shared" si="35"/>
        <v>156145.6551724138</v>
      </c>
      <c r="I59" s="70">
        <f t="shared" ref="I59:J59" si="40">F66</f>
        <v>71521</v>
      </c>
      <c r="J59" s="56">
        <f t="shared" si="40"/>
        <v>10131491</v>
      </c>
      <c r="K59" s="71">
        <f t="shared" si="36"/>
        <v>141393.35172413793</v>
      </c>
      <c r="L59" s="70">
        <f t="shared" ref="L59:M59" si="41">I66</f>
        <v>72521</v>
      </c>
      <c r="M59" s="56">
        <f t="shared" si="41"/>
        <v>10660984</v>
      </c>
      <c r="N59" s="71">
        <f t="shared" si="37"/>
        <v>146045.02758620691</v>
      </c>
      <c r="O59" s="70">
        <f t="shared" ref="O59:P59" si="42">L66</f>
        <v>72500</v>
      </c>
      <c r="P59" s="56">
        <f t="shared" si="42"/>
        <v>10512500</v>
      </c>
      <c r="Q59" s="71">
        <f t="shared" si="38"/>
        <v>145000</v>
      </c>
      <c r="R59" s="70">
        <f>C59</f>
        <v>56000</v>
      </c>
      <c r="S59" s="56">
        <f>D59</f>
        <v>1141000</v>
      </c>
      <c r="T59" s="71">
        <f>E59</f>
        <v>63868.965517241377</v>
      </c>
      <c r="U59" s="102"/>
    </row>
    <row r="60" spans="1:21">
      <c r="A60" s="103" t="s">
        <v>88</v>
      </c>
      <c r="B60" s="25" t="s">
        <v>89</v>
      </c>
      <c r="C60" s="86">
        <f>SUM(C58:C59)</f>
        <v>-299875</v>
      </c>
      <c r="D60" s="42">
        <f>SUM(D58:D59)</f>
        <v>-2945625</v>
      </c>
      <c r="E60" s="68">
        <f t="shared" si="34"/>
        <v>-320189.6551724138</v>
      </c>
      <c r="F60" s="86">
        <f>SUM(F58:F59)</f>
        <v>-30319</v>
      </c>
      <c r="G60" s="42">
        <f>SUM(G58:G59)</f>
        <v>6634275</v>
      </c>
      <c r="H60" s="68">
        <f t="shared" si="35"/>
        <v>15434.620689655174</v>
      </c>
      <c r="I60" s="86">
        <f>SUM(I58:I59)</f>
        <v>26106</v>
      </c>
      <c r="J60" s="42">
        <f>SUM(J58:J59)</f>
        <v>8211416</v>
      </c>
      <c r="K60" s="68">
        <f t="shared" si="36"/>
        <v>82736.455172413785</v>
      </c>
      <c r="L60" s="86">
        <f>SUM(L58:L59)</f>
        <v>57646</v>
      </c>
      <c r="M60" s="42">
        <f>SUM(M58:M59)</f>
        <v>9068859</v>
      </c>
      <c r="N60" s="68">
        <f t="shared" si="37"/>
        <v>120189.85517241379</v>
      </c>
      <c r="O60" s="86">
        <f>SUM(O58:O59)</f>
        <v>-236375</v>
      </c>
      <c r="P60" s="42">
        <f>SUM(P58:P59)</f>
        <v>1528675</v>
      </c>
      <c r="Q60" s="68">
        <f t="shared" si="38"/>
        <v>-225832.41379310345</v>
      </c>
      <c r="R60" s="67">
        <f>C60+F60+I60+L60+O60</f>
        <v>-482817</v>
      </c>
      <c r="S60" s="42">
        <f>D60+G60+J60+M60+P60</f>
        <v>22497600</v>
      </c>
      <c r="T60" s="68">
        <f>SUM(T58:T59)</f>
        <v>-916245.17241379316</v>
      </c>
      <c r="U60" s="102"/>
    </row>
    <row r="61" spans="1:21">
      <c r="A61" s="103"/>
      <c r="B61" s="25"/>
      <c r="C61" s="86"/>
      <c r="D61" s="42"/>
      <c r="E61" s="68"/>
      <c r="F61" s="86"/>
      <c r="G61" s="42"/>
      <c r="H61" s="68"/>
      <c r="I61" s="86"/>
      <c r="J61" s="42"/>
      <c r="K61" s="68"/>
      <c r="L61" s="86"/>
      <c r="M61" s="42"/>
      <c r="N61" s="68"/>
      <c r="O61" s="86"/>
      <c r="P61" s="42"/>
      <c r="Q61" s="68"/>
      <c r="R61" s="67"/>
      <c r="S61" s="42"/>
      <c r="T61" s="68"/>
      <c r="U61" s="102"/>
    </row>
    <row r="62" spans="1:21" s="3" customFormat="1">
      <c r="A62" s="103" t="s">
        <v>90</v>
      </c>
      <c r="B62" s="25" t="s">
        <v>91</v>
      </c>
      <c r="C62" s="76">
        <f>-C60+$C$9*0.1</f>
        <v>372375</v>
      </c>
      <c r="D62" s="42">
        <f>-D60+$C$9*$D$7*0.1</f>
        <v>13458125</v>
      </c>
      <c r="E62" s="68">
        <f t="shared" ref="E62" si="43">C62+(D62/$D$7)</f>
        <v>465189.6551724138</v>
      </c>
      <c r="F62" s="236">
        <f>-F60+$C$9*0.1</f>
        <v>102819</v>
      </c>
      <c r="G62" s="42">
        <f>-G60+$C$9*$D$7*0.1</f>
        <v>3878225</v>
      </c>
      <c r="H62" s="68">
        <f t="shared" ref="H62" si="44">F62+(G62/$D$7)</f>
        <v>129565.37931034483</v>
      </c>
      <c r="I62" s="76">
        <f>-I60+$C$9*0.1</f>
        <v>46394</v>
      </c>
      <c r="J62" s="42">
        <f>-J60+$C$9*$D$7*0.1</f>
        <v>2301084</v>
      </c>
      <c r="K62" s="68">
        <f t="shared" ref="K62" si="45">I62+(J62/$D$7)</f>
        <v>62263.544827586207</v>
      </c>
      <c r="L62" s="76">
        <f>-L60+$C$9*0.1</f>
        <v>14854</v>
      </c>
      <c r="M62" s="42">
        <f>-M60+$C$9*$D$7*0.1</f>
        <v>1443641</v>
      </c>
      <c r="N62" s="68">
        <f t="shared" ref="N62" si="46">L62+(M62/$D$7)</f>
        <v>24810.144827586206</v>
      </c>
      <c r="O62" s="76">
        <f>-O60+$C$9*0.1</f>
        <v>308875</v>
      </c>
      <c r="P62" s="42">
        <f>-P60+$C$9*$D$7*0.1</f>
        <v>8983825</v>
      </c>
      <c r="Q62" s="68">
        <f t="shared" ref="Q62" si="47">O62+(P62/$D$7)</f>
        <v>370832.41379310342</v>
      </c>
      <c r="R62" s="67">
        <f>C62+F62+I62+L62+O62</f>
        <v>845317</v>
      </c>
      <c r="S62" s="42">
        <f>D62+G62+J62+M62+P62</f>
        <v>30064900</v>
      </c>
      <c r="T62" s="68">
        <f t="shared" ref="T62" si="48">R62+(S62/$D$7)</f>
        <v>1052661.1379310344</v>
      </c>
      <c r="U62" s="237"/>
    </row>
    <row r="63" spans="1:21" s="2" customFormat="1" ht="13.5" thickBot="1">
      <c r="A63" s="103"/>
      <c r="B63" s="20"/>
      <c r="C63" s="90"/>
      <c r="D63" s="53"/>
      <c r="E63" s="91"/>
      <c r="F63" s="90"/>
      <c r="G63" s="53"/>
      <c r="H63" s="91"/>
      <c r="I63" s="90"/>
      <c r="J63" s="53"/>
      <c r="K63" s="91"/>
      <c r="L63" s="90"/>
      <c r="M63" s="53"/>
      <c r="N63" s="91"/>
      <c r="O63" s="90"/>
      <c r="P63" s="53"/>
      <c r="Q63" s="91"/>
      <c r="R63" s="79"/>
      <c r="S63" s="55"/>
      <c r="T63" s="71"/>
      <c r="U63" s="100"/>
    </row>
    <row r="64" spans="1:21" s="2" customFormat="1" ht="13.5" thickBot="1">
      <c r="A64" s="103" t="s">
        <v>92</v>
      </c>
      <c r="B64" s="20" t="s">
        <v>93</v>
      </c>
      <c r="C64" s="80">
        <f>SUM(C60:C62)</f>
        <v>72500</v>
      </c>
      <c r="D64" s="52">
        <f>SUM(D60:D62)</f>
        <v>10512500</v>
      </c>
      <c r="E64" s="92">
        <f>C64+(D64/$D$7)</f>
        <v>145000</v>
      </c>
      <c r="F64" s="80">
        <f>F60+F62</f>
        <v>72500</v>
      </c>
      <c r="G64" s="52">
        <f>SUM(G60:G62)</f>
        <v>10512500</v>
      </c>
      <c r="H64" s="92">
        <f>F64+(G64/$D$7)</f>
        <v>145000</v>
      </c>
      <c r="I64" s="80">
        <f>I60+I62</f>
        <v>72500</v>
      </c>
      <c r="J64" s="52">
        <f>SUM(J60:J62)</f>
        <v>10512500</v>
      </c>
      <c r="K64" s="92">
        <f>I64+(J64/$D$7)</f>
        <v>145000</v>
      </c>
      <c r="L64" s="80">
        <f>L60+L62</f>
        <v>72500</v>
      </c>
      <c r="M64" s="52">
        <f>SUM(M60:M62)</f>
        <v>10512500</v>
      </c>
      <c r="N64" s="92">
        <f>L64+(M64/$D$7)</f>
        <v>145000</v>
      </c>
      <c r="O64" s="80">
        <f>O60+O62</f>
        <v>72500</v>
      </c>
      <c r="P64" s="52">
        <f>SUM(P60:P62)</f>
        <v>10512500</v>
      </c>
      <c r="Q64" s="92">
        <f>O64+(P64/$D$7)</f>
        <v>145000</v>
      </c>
      <c r="R64" s="80">
        <f>(C64+F64+I64+L64+O64)/5</f>
        <v>72500</v>
      </c>
      <c r="S64" s="52">
        <f>D64+G64+J64+M64+P64</f>
        <v>52562500</v>
      </c>
      <c r="T64" s="81">
        <f>SUM(T60:T63)</f>
        <v>136415.96551724127</v>
      </c>
      <c r="U64" s="237"/>
    </row>
    <row r="65" spans="1:21" s="3" customFormat="1" ht="13.5" thickBot="1">
      <c r="A65" s="103"/>
      <c r="B65" s="25"/>
      <c r="C65" s="190"/>
      <c r="D65" s="191"/>
      <c r="E65" s="192"/>
      <c r="F65" s="238"/>
      <c r="G65" s="191"/>
      <c r="H65" s="192"/>
      <c r="I65" s="190"/>
      <c r="J65" s="191"/>
      <c r="K65" s="192"/>
      <c r="L65" s="190"/>
      <c r="M65" s="191"/>
      <c r="N65" s="192"/>
      <c r="O65" s="190"/>
      <c r="P65" s="191"/>
      <c r="Q65" s="192"/>
      <c r="R65" s="193"/>
      <c r="S65" s="191"/>
      <c r="T65" s="192"/>
      <c r="U65" s="237"/>
    </row>
    <row r="66" spans="1:21" s="2" customFormat="1" ht="13.5" thickBot="1">
      <c r="A66" s="103" t="s">
        <v>94</v>
      </c>
      <c r="B66" s="20" t="s">
        <v>95</v>
      </c>
      <c r="C66" s="187">
        <v>87656</v>
      </c>
      <c r="D66" s="188">
        <v>9931000</v>
      </c>
      <c r="E66" s="189">
        <f>C66+(D66/$D$7)</f>
        <v>156145.6551724138</v>
      </c>
      <c r="F66" s="187">
        <v>71521</v>
      </c>
      <c r="G66" s="188">
        <v>10131491</v>
      </c>
      <c r="H66" s="189">
        <f t="shared" ref="H66" si="49">F66+(G66/$D$7)</f>
        <v>141393.35172413793</v>
      </c>
      <c r="I66" s="187">
        <v>72521</v>
      </c>
      <c r="J66" s="188">
        <v>10660984</v>
      </c>
      <c r="K66" s="189">
        <f t="shared" ref="K66" si="50">I66+(J66/$D$7)</f>
        <v>146045.02758620691</v>
      </c>
      <c r="L66" s="187">
        <v>72500</v>
      </c>
      <c r="M66" s="188">
        <v>10512500</v>
      </c>
      <c r="N66" s="189">
        <v>145000</v>
      </c>
      <c r="O66" s="187">
        <v>72500</v>
      </c>
      <c r="P66" s="188">
        <v>10512500</v>
      </c>
      <c r="Q66" s="189">
        <f t="shared" ref="Q66" si="51">O66+(P66/$D$7)</f>
        <v>145000</v>
      </c>
      <c r="R66" s="80">
        <f>O66</f>
        <v>72500</v>
      </c>
      <c r="S66" s="195">
        <f>P66</f>
        <v>10512500</v>
      </c>
      <c r="T66" s="189">
        <f t="shared" ref="T66" si="52">R66+(S66/$D$7)</f>
        <v>145000</v>
      </c>
      <c r="U66" s="100" t="str">
        <f>IF(T66&lt;$C$9,"Within cashbook balance threshold","Exceeds cashbook balance threshold")</f>
        <v>Within cashbook balance threshold</v>
      </c>
    </row>
    <row r="67" spans="1:21">
      <c r="A67" s="140"/>
      <c r="B67" s="2"/>
      <c r="C67" s="82"/>
      <c r="D67" s="51"/>
      <c r="E67" s="83"/>
      <c r="F67" s="82"/>
      <c r="G67" s="51"/>
      <c r="H67" s="83"/>
      <c r="I67" s="82"/>
      <c r="J67" s="51"/>
      <c r="K67" s="83"/>
      <c r="L67" s="82"/>
      <c r="M67" s="51"/>
      <c r="N67" s="83"/>
      <c r="O67" s="82"/>
      <c r="P67" s="51"/>
      <c r="Q67" s="83"/>
      <c r="R67" s="82"/>
      <c r="S67" s="51"/>
      <c r="T67" s="83"/>
      <c r="U67" s="237"/>
    </row>
    <row r="68" spans="1:21" s="2" customFormat="1">
      <c r="A68" s="103" t="s">
        <v>96</v>
      </c>
      <c r="B68" s="20" t="s">
        <v>97</v>
      </c>
      <c r="C68" s="86">
        <v>500000</v>
      </c>
      <c r="D68" s="239"/>
      <c r="E68" s="84">
        <f>C68</f>
        <v>500000</v>
      </c>
      <c r="F68" s="86">
        <v>130000</v>
      </c>
      <c r="G68" s="239"/>
      <c r="H68" s="84">
        <f>F68</f>
        <v>130000</v>
      </c>
      <c r="I68" s="86">
        <v>100000</v>
      </c>
      <c r="J68" s="239"/>
      <c r="K68" s="84">
        <f>I68</f>
        <v>100000</v>
      </c>
      <c r="L68" s="86">
        <v>0</v>
      </c>
      <c r="M68" s="239"/>
      <c r="N68" s="84">
        <f>L68</f>
        <v>0</v>
      </c>
      <c r="O68" s="86">
        <v>400000</v>
      </c>
      <c r="P68" s="239"/>
      <c r="Q68" s="84">
        <f>O68</f>
        <v>400000</v>
      </c>
      <c r="R68" s="86">
        <f>O68+L68+I68+F68+C68</f>
        <v>1130000</v>
      </c>
      <c r="S68" s="239"/>
      <c r="T68" s="84">
        <f>R68</f>
        <v>1130000</v>
      </c>
      <c r="U68" s="100"/>
    </row>
    <row r="69" spans="1:21" s="2" customFormat="1">
      <c r="A69" s="103" t="s">
        <v>98</v>
      </c>
      <c r="B69" s="20" t="s">
        <v>99</v>
      </c>
      <c r="C69" s="110"/>
      <c r="D69" s="1">
        <v>15000000</v>
      </c>
      <c r="E69" s="185"/>
      <c r="F69" s="110"/>
      <c r="G69" s="1">
        <v>4000000</v>
      </c>
      <c r="H69" s="185"/>
      <c r="I69" s="110"/>
      <c r="J69" s="1">
        <v>2500000</v>
      </c>
      <c r="K69" s="185"/>
      <c r="L69" s="110"/>
      <c r="M69" s="1">
        <v>0</v>
      </c>
      <c r="N69" s="185"/>
      <c r="O69" s="110"/>
      <c r="P69" s="1">
        <v>9000000</v>
      </c>
      <c r="Q69" s="185"/>
      <c r="R69" s="110"/>
      <c r="S69" s="1">
        <f>P69+M69+J69+G69+D69</f>
        <v>30500000</v>
      </c>
      <c r="T69" s="186"/>
      <c r="U69" s="100"/>
    </row>
    <row r="70" spans="1:21" s="2" customFormat="1">
      <c r="A70" s="103" t="s">
        <v>100</v>
      </c>
      <c r="B70" s="20" t="s">
        <v>101</v>
      </c>
      <c r="C70" s="111"/>
      <c r="D70" s="239"/>
      <c r="E70" s="84">
        <f>E68</f>
        <v>500000</v>
      </c>
      <c r="F70" s="111"/>
      <c r="G70" s="239"/>
      <c r="H70" s="84">
        <f>E70+H68</f>
        <v>630000</v>
      </c>
      <c r="I70" s="111"/>
      <c r="J70" s="239"/>
      <c r="K70" s="84">
        <f>H70+K68</f>
        <v>730000</v>
      </c>
      <c r="L70" s="111"/>
      <c r="M70" s="239"/>
      <c r="N70" s="84">
        <f>K70+N68</f>
        <v>730000</v>
      </c>
      <c r="O70" s="111"/>
      <c r="P70" s="239"/>
      <c r="Q70" s="84">
        <f>N70+Q68</f>
        <v>1130000</v>
      </c>
      <c r="R70" s="111"/>
      <c r="S70" s="239"/>
      <c r="T70" s="196"/>
      <c r="U70" s="100"/>
    </row>
    <row r="71" spans="1:21" s="2" customFormat="1" ht="13.5" thickBot="1">
      <c r="A71" s="104" t="s">
        <v>102</v>
      </c>
      <c r="B71" s="105" t="s">
        <v>103</v>
      </c>
      <c r="C71" s="112"/>
      <c r="D71" s="113"/>
      <c r="E71" s="106" t="str">
        <f>IF(E70-$C$9&lt;0,"N/A",E70-$C$9)</f>
        <v>N/A</v>
      </c>
      <c r="F71" s="112"/>
      <c r="G71" s="113"/>
      <c r="H71" s="106" t="str">
        <f>IF(H70-$C$9&lt;0,"N/A",H70-$C$9)</f>
        <v>N/A</v>
      </c>
      <c r="I71" s="112"/>
      <c r="J71" s="113"/>
      <c r="K71" s="106">
        <f>IF(K70-$C$9&lt;0,"N/A",K70-$C$9)</f>
        <v>5000</v>
      </c>
      <c r="L71" s="112"/>
      <c r="M71" s="113"/>
      <c r="N71" s="106">
        <f>IF(N70-$C$9&lt;0,"N/A",N70-$C$9)</f>
        <v>5000</v>
      </c>
      <c r="O71" s="112"/>
      <c r="P71" s="113"/>
      <c r="Q71" s="106">
        <f>IF(Q70-$C$9&lt;0,"N/A",Q70-$C$9)</f>
        <v>405000</v>
      </c>
      <c r="R71" s="112"/>
      <c r="S71" s="113"/>
      <c r="T71" s="106">
        <f>T68-$C$9</f>
        <v>405000</v>
      </c>
      <c r="U71" s="107" t="s">
        <v>104</v>
      </c>
    </row>
    <row r="72" spans="1:21">
      <c r="A72" s="2"/>
      <c r="B72" s="48"/>
      <c r="C72" s="1"/>
      <c r="D72" s="1"/>
      <c r="E72" s="1"/>
      <c r="F72" s="9"/>
      <c r="G72" s="1"/>
      <c r="H72" s="1"/>
      <c r="I72" s="1"/>
      <c r="J72" s="1"/>
      <c r="K72" s="1"/>
      <c r="L72" s="1"/>
      <c r="M72" s="1"/>
      <c r="N72" s="1"/>
      <c r="O72" s="1"/>
      <c r="P72" s="1"/>
      <c r="Q72" s="1"/>
    </row>
    <row r="73" spans="1:21">
      <c r="A73" s="2"/>
      <c r="B73" s="48"/>
      <c r="C73" s="1"/>
      <c r="D73" s="1"/>
      <c r="E73" s="1"/>
      <c r="F73" s="9"/>
      <c r="G73" s="1"/>
      <c r="H73" s="1"/>
      <c r="I73" s="1"/>
      <c r="J73" s="1"/>
      <c r="K73" s="1"/>
      <c r="L73" s="1"/>
      <c r="M73" s="1"/>
      <c r="N73" s="1"/>
      <c r="O73" s="1"/>
      <c r="P73" s="1"/>
      <c r="Q73" s="1"/>
    </row>
    <row r="74" spans="1:21">
      <c r="A74" s="2"/>
      <c r="B74" s="2" t="s">
        <v>105</v>
      </c>
      <c r="C74" s="1"/>
      <c r="D74" s="1"/>
      <c r="E74" s="1"/>
      <c r="F74" s="9"/>
      <c r="G74" s="1"/>
      <c r="H74" s="1"/>
      <c r="I74" s="1"/>
      <c r="J74" s="1"/>
      <c r="K74" s="1"/>
      <c r="L74" s="1"/>
      <c r="M74" s="1"/>
      <c r="N74" s="1"/>
      <c r="O74" s="1"/>
      <c r="P74" s="1"/>
      <c r="Q74" s="1"/>
    </row>
    <row r="75" spans="1:21">
      <c r="A75" s="2"/>
      <c r="B75" s="58" t="s">
        <v>106</v>
      </c>
      <c r="C75" s="1"/>
      <c r="D75" s="1"/>
      <c r="E75" s="1"/>
      <c r="F75" s="9"/>
      <c r="G75" s="1"/>
      <c r="H75" s="1"/>
      <c r="I75" s="1"/>
      <c r="J75" s="1"/>
      <c r="K75" s="1"/>
      <c r="L75" s="1"/>
      <c r="M75" s="1"/>
      <c r="N75" s="1"/>
      <c r="O75" s="1"/>
      <c r="P75" s="1"/>
      <c r="Q75" s="1"/>
    </row>
    <row r="76" spans="1:21">
      <c r="A76" s="2"/>
      <c r="B76" s="58" t="s">
        <v>107</v>
      </c>
      <c r="C76" s="1"/>
      <c r="D76" s="1"/>
      <c r="E76" s="1"/>
      <c r="F76" s="9"/>
      <c r="G76" s="1"/>
      <c r="H76" s="1"/>
      <c r="I76" s="1"/>
      <c r="J76" s="1"/>
      <c r="K76" s="1"/>
      <c r="L76" s="1"/>
      <c r="M76" s="1"/>
      <c r="N76" s="1"/>
      <c r="O76" s="1"/>
      <c r="P76" s="1"/>
      <c r="Q76" s="1"/>
    </row>
    <row r="77" spans="1:21">
      <c r="A77" s="2"/>
      <c r="B77" s="58" t="s">
        <v>108</v>
      </c>
      <c r="C77" s="1"/>
      <c r="D77" s="1"/>
      <c r="E77" s="1"/>
      <c r="F77" s="9"/>
      <c r="G77" s="1"/>
      <c r="H77" s="1"/>
      <c r="I77" s="1"/>
      <c r="J77" s="1"/>
      <c r="K77" s="1"/>
      <c r="L77" s="1"/>
      <c r="M77" s="1"/>
      <c r="N77" s="1"/>
      <c r="O77" s="1"/>
      <c r="P77" s="1"/>
      <c r="Q77" s="1"/>
    </row>
    <row r="78" spans="1:21">
      <c r="A78" s="2"/>
      <c r="B78" s="58" t="s">
        <v>109</v>
      </c>
      <c r="C78" s="1"/>
      <c r="D78" s="1"/>
      <c r="E78" s="1"/>
      <c r="F78" s="9"/>
      <c r="G78" s="1"/>
      <c r="H78" s="1"/>
      <c r="I78" s="1"/>
      <c r="J78" s="1"/>
      <c r="K78" s="1"/>
      <c r="L78" s="1"/>
      <c r="M78" s="1"/>
      <c r="N78" s="1"/>
      <c r="O78" s="1"/>
      <c r="P78" s="1"/>
      <c r="Q78" s="1"/>
    </row>
    <row r="79" spans="1:21">
      <c r="A79" s="2"/>
      <c r="B79" s="58" t="s">
        <v>110</v>
      </c>
      <c r="C79" s="1"/>
      <c r="D79" s="1"/>
      <c r="E79" s="1"/>
      <c r="F79" s="9"/>
      <c r="G79" s="1"/>
      <c r="H79" s="1"/>
      <c r="I79" s="1"/>
      <c r="J79" s="1"/>
      <c r="K79" s="1"/>
      <c r="L79" s="1"/>
      <c r="M79" s="1"/>
      <c r="N79" s="1"/>
      <c r="O79" s="1"/>
      <c r="P79" s="1"/>
      <c r="Q79" s="1"/>
    </row>
    <row r="80" spans="1:21">
      <c r="A80" s="2"/>
      <c r="B80" s="58"/>
      <c r="C80" s="1"/>
      <c r="D80" s="1"/>
      <c r="E80" s="1"/>
      <c r="F80" s="9"/>
      <c r="G80" s="1"/>
      <c r="H80" s="1"/>
      <c r="I80" s="1"/>
      <c r="J80" s="1"/>
      <c r="K80" s="1"/>
      <c r="L80" s="1"/>
      <c r="M80" s="1"/>
      <c r="N80" s="1"/>
      <c r="O80" s="1"/>
      <c r="P80" s="1"/>
      <c r="Q80" s="1"/>
    </row>
    <row r="81" spans="1:12">
      <c r="A81" s="38" t="s">
        <v>30</v>
      </c>
      <c r="B81" t="s">
        <v>111</v>
      </c>
      <c r="D81" s="12"/>
      <c r="E81" s="12"/>
      <c r="F81" s="13"/>
      <c r="G81" s="13"/>
      <c r="H81" s="13"/>
      <c r="I81" s="14"/>
      <c r="J81" s="14"/>
      <c r="K81" s="14"/>
      <c r="L81" s="21"/>
    </row>
    <row r="82" spans="1:12">
      <c r="A82" s="38"/>
      <c r="B82" s="139" t="s">
        <v>112</v>
      </c>
      <c r="D82" s="12"/>
      <c r="E82" s="12"/>
      <c r="F82" s="13"/>
      <c r="G82" s="13"/>
      <c r="H82" s="13"/>
      <c r="I82" s="14"/>
      <c r="J82" s="14"/>
      <c r="K82" s="14"/>
      <c r="L82" s="21"/>
    </row>
    <row r="83" spans="1:12">
      <c r="A83" s="38"/>
      <c r="B83" s="139" t="s">
        <v>113</v>
      </c>
      <c r="D83" s="12"/>
      <c r="E83" s="12"/>
      <c r="F83" s="13"/>
      <c r="G83" s="13"/>
      <c r="H83" s="13"/>
      <c r="I83" s="14"/>
      <c r="J83" s="14"/>
      <c r="K83" s="14"/>
      <c r="L83" s="21"/>
    </row>
    <row r="84" spans="1:12">
      <c r="A84" s="38"/>
      <c r="B84" s="139" t="s">
        <v>114</v>
      </c>
      <c r="D84" s="12"/>
      <c r="E84" s="12"/>
      <c r="F84" s="13"/>
      <c r="G84" s="13"/>
      <c r="H84" s="13"/>
      <c r="I84" s="14"/>
      <c r="J84" s="14"/>
      <c r="K84" s="14"/>
      <c r="L84" s="21"/>
    </row>
    <row r="85" spans="1:12">
      <c r="A85" s="38"/>
      <c r="B85" s="139" t="s">
        <v>115</v>
      </c>
      <c r="D85" s="12"/>
      <c r="E85" s="12"/>
      <c r="F85" s="13"/>
      <c r="G85" s="13"/>
      <c r="H85" s="13"/>
      <c r="I85" s="14"/>
      <c r="J85" s="14"/>
      <c r="K85" s="14"/>
      <c r="L85" s="21"/>
    </row>
    <row r="86" spans="1:12">
      <c r="A86" s="38" t="s">
        <v>42</v>
      </c>
      <c r="B86" t="s">
        <v>116</v>
      </c>
      <c r="D86" s="12"/>
      <c r="E86" s="12"/>
      <c r="F86" s="13"/>
      <c r="G86" s="13"/>
      <c r="H86" s="13"/>
      <c r="I86" s="14"/>
      <c r="J86" s="14"/>
      <c r="K86" s="14"/>
      <c r="L86" s="21"/>
    </row>
    <row r="87" spans="1:12">
      <c r="A87" s="38" t="s">
        <v>45</v>
      </c>
      <c r="B87" t="s">
        <v>117</v>
      </c>
      <c r="D87" s="12"/>
      <c r="E87" s="12"/>
      <c r="F87" s="13"/>
      <c r="G87" s="13"/>
      <c r="H87" s="13"/>
      <c r="I87" s="14"/>
      <c r="J87" s="14"/>
      <c r="K87" s="14"/>
      <c r="L87" s="21"/>
    </row>
    <row r="88" spans="1:12">
      <c r="A88" s="38" t="s">
        <v>48</v>
      </c>
      <c r="B88" t="s">
        <v>118</v>
      </c>
      <c r="D88" s="12"/>
      <c r="E88" s="12"/>
      <c r="F88" s="13"/>
      <c r="G88" s="13"/>
      <c r="H88" s="13"/>
      <c r="I88" s="14"/>
      <c r="J88" s="14"/>
      <c r="K88" s="14"/>
      <c r="L88" s="21"/>
    </row>
    <row r="89" spans="1:12">
      <c r="A89" s="38" t="s">
        <v>51</v>
      </c>
      <c r="B89" s="8" t="s">
        <v>119</v>
      </c>
      <c r="D89" s="12"/>
      <c r="E89" s="12"/>
      <c r="F89" s="13"/>
      <c r="G89" s="13"/>
      <c r="H89" s="13"/>
      <c r="I89" s="14"/>
      <c r="J89" s="14"/>
      <c r="K89" s="14"/>
      <c r="L89" s="21"/>
    </row>
    <row r="90" spans="1:12">
      <c r="A90" s="38" t="s">
        <v>58</v>
      </c>
      <c r="B90" t="s">
        <v>120</v>
      </c>
      <c r="D90" s="12"/>
      <c r="E90" s="12"/>
      <c r="F90" s="13"/>
      <c r="G90" s="13"/>
      <c r="H90" s="13"/>
      <c r="I90" s="14"/>
      <c r="J90" s="14"/>
      <c r="K90" s="14"/>
      <c r="L90" s="21"/>
    </row>
    <row r="91" spans="1:12">
      <c r="A91" s="38" t="s">
        <v>60</v>
      </c>
      <c r="B91" s="48" t="s">
        <v>121</v>
      </c>
    </row>
    <row r="92" spans="1:12">
      <c r="A92" s="38" t="s">
        <v>75</v>
      </c>
      <c r="B92" t="s">
        <v>122</v>
      </c>
    </row>
    <row r="93" spans="1:12">
      <c r="A93" s="38" t="s">
        <v>80</v>
      </c>
      <c r="B93" t="s">
        <v>123</v>
      </c>
    </row>
    <row r="94" spans="1:12">
      <c r="A94" s="38" t="s">
        <v>82</v>
      </c>
      <c r="B94" t="s">
        <v>124</v>
      </c>
    </row>
    <row r="95" spans="1:12">
      <c r="A95" s="38" t="s">
        <v>84</v>
      </c>
      <c r="B95" t="s">
        <v>125</v>
      </c>
    </row>
    <row r="96" spans="1:12">
      <c r="A96" s="38" t="s">
        <v>86</v>
      </c>
      <c r="B96" s="48" t="s">
        <v>126</v>
      </c>
    </row>
    <row r="97" spans="1:2">
      <c r="A97" s="38" t="s">
        <v>88</v>
      </c>
      <c r="B97" s="48" t="s">
        <v>127</v>
      </c>
    </row>
    <row r="98" spans="1:2">
      <c r="A98" s="38" t="s">
        <v>90</v>
      </c>
      <c r="B98" s="48" t="s">
        <v>128</v>
      </c>
    </row>
    <row r="99" spans="1:2">
      <c r="A99" s="38" t="s">
        <v>92</v>
      </c>
      <c r="B99" s="48" t="s">
        <v>129</v>
      </c>
    </row>
    <row r="100" spans="1:2">
      <c r="A100" s="38" t="s">
        <v>94</v>
      </c>
      <c r="B100" s="48" t="s">
        <v>130</v>
      </c>
    </row>
    <row r="101" spans="1:2">
      <c r="A101" s="38" t="s">
        <v>96</v>
      </c>
      <c r="B101" s="48" t="s">
        <v>131</v>
      </c>
    </row>
    <row r="102" spans="1:2">
      <c r="A102" s="38"/>
      <c r="B102" s="194" t="s">
        <v>132</v>
      </c>
    </row>
    <row r="103" spans="1:2">
      <c r="A103" s="38"/>
      <c r="B103" s="194" t="s">
        <v>133</v>
      </c>
    </row>
    <row r="104" spans="1:2">
      <c r="A104" s="38" t="s">
        <v>98</v>
      </c>
      <c r="B104" s="48" t="s">
        <v>134</v>
      </c>
    </row>
    <row r="105" spans="1:2">
      <c r="A105" s="38" t="s">
        <v>100</v>
      </c>
      <c r="B105" s="48" t="s">
        <v>135</v>
      </c>
    </row>
    <row r="106" spans="1:2">
      <c r="A106" s="38" t="s">
        <v>102</v>
      </c>
      <c r="B106" s="48" t="s">
        <v>136</v>
      </c>
    </row>
    <row r="107" spans="1:2">
      <c r="A107" s="38"/>
    </row>
    <row r="108" spans="1:2">
      <c r="A108" s="2"/>
    </row>
    <row r="109" spans="1:2">
      <c r="A109" s="2"/>
    </row>
    <row r="110" spans="1:2">
      <c r="A110" s="2"/>
    </row>
    <row r="111" spans="1:2">
      <c r="A111" s="2"/>
    </row>
    <row r="112" spans="1:2">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sheetData>
  <mergeCells count="16">
    <mergeCell ref="R12:T12"/>
    <mergeCell ref="C11:Q11"/>
    <mergeCell ref="R11:T11"/>
    <mergeCell ref="A12:B13"/>
    <mergeCell ref="A1:U1"/>
    <mergeCell ref="A11:B11"/>
    <mergeCell ref="A4:B4"/>
    <mergeCell ref="A6:B6"/>
    <mergeCell ref="A7:B7"/>
    <mergeCell ref="A9:B9"/>
    <mergeCell ref="A8:B8"/>
    <mergeCell ref="C12:E12"/>
    <mergeCell ref="F12:H12"/>
    <mergeCell ref="I12:K12"/>
    <mergeCell ref="L12:N12"/>
    <mergeCell ref="O12:Q12"/>
  </mergeCells>
  <phoneticPr fontId="0" type="noConversion"/>
  <pageMargins left="0.77" right="0.22" top="0.26" bottom="0.18" header="0.28000000000000003" footer="0.18"/>
  <pageSetup scale="62"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66"/>
  <sheetViews>
    <sheetView tabSelected="1" workbookViewId="0">
      <pane xSplit="2" ySplit="13" topLeftCell="C36" activePane="bottomRight" state="frozen"/>
      <selection pane="bottomRight" activeCell="G9" sqref="G9"/>
      <selection pane="bottomLeft" activeCell="A14" sqref="A14"/>
      <selection pane="topRight" activeCell="C1" sqref="C1"/>
    </sheetView>
  </sheetViews>
  <sheetFormatPr defaultRowHeight="12.75"/>
  <cols>
    <col min="1" max="1" width="3.42578125" customWidth="1"/>
    <col min="2" max="2" width="44.140625" customWidth="1"/>
    <col min="3" max="3" width="10.7109375" customWidth="1"/>
    <col min="4" max="5" width="12.7109375" customWidth="1"/>
    <col min="6" max="6" width="10.7109375" customWidth="1"/>
    <col min="7" max="8" width="12.7109375" customWidth="1"/>
    <col min="9" max="9" width="10.42578125" customWidth="1"/>
    <col min="10" max="11" width="12.7109375" customWidth="1"/>
    <col min="12" max="12" width="10.5703125" customWidth="1"/>
    <col min="13" max="14" width="12.7109375" customWidth="1"/>
    <col min="15" max="15" width="10.7109375" customWidth="1"/>
    <col min="16" max="17" width="12" customWidth="1"/>
    <col min="18" max="19" width="11.7109375" customWidth="1"/>
    <col min="20" max="20" width="12.7109375" customWidth="1"/>
    <col min="21" max="21" width="5" customWidth="1"/>
  </cols>
  <sheetData>
    <row r="1" spans="1:20" ht="15.75">
      <c r="A1" s="217" t="s">
        <v>137</v>
      </c>
      <c r="B1" s="217"/>
      <c r="C1" s="217"/>
      <c r="D1" s="217"/>
      <c r="E1" s="217"/>
      <c r="F1" s="217"/>
      <c r="G1" s="217"/>
      <c r="H1" s="217"/>
      <c r="I1" s="217"/>
      <c r="J1" s="217"/>
      <c r="K1" s="217"/>
      <c r="L1" s="217"/>
      <c r="M1" s="217"/>
      <c r="N1" s="217"/>
      <c r="O1" s="217"/>
      <c r="P1" s="217"/>
      <c r="Q1" s="217"/>
      <c r="R1" s="217"/>
      <c r="S1" s="217"/>
      <c r="T1" s="217"/>
    </row>
    <row r="2" spans="1:20" ht="15.75">
      <c r="A2" s="33"/>
      <c r="B2" s="33"/>
      <c r="C2" s="33"/>
      <c r="D2" s="33"/>
      <c r="E2" s="33"/>
      <c r="F2" s="33"/>
      <c r="G2" s="33"/>
      <c r="H2" s="33"/>
      <c r="I2" s="33"/>
      <c r="J2" s="33"/>
      <c r="K2" s="33"/>
      <c r="L2" s="33"/>
      <c r="M2" s="33"/>
      <c r="N2" s="33"/>
      <c r="O2" s="33"/>
      <c r="P2" s="33"/>
      <c r="Q2" s="33"/>
      <c r="R2" s="33"/>
      <c r="S2" s="33"/>
      <c r="T2" s="33"/>
    </row>
    <row r="3" spans="1:20" ht="15.75">
      <c r="A3" s="225" t="s">
        <v>4</v>
      </c>
      <c r="B3" s="225"/>
      <c r="C3" s="155" t="str">
        <f>'Detailed cash flow projection'!C4</f>
        <v>December</v>
      </c>
      <c r="D3" s="156">
        <f>'Detailed cash flow projection'!D4</f>
        <v>2022</v>
      </c>
      <c r="E3" s="49"/>
      <c r="G3" s="108"/>
    </row>
    <row r="4" spans="1:20" ht="15.75">
      <c r="G4" s="108"/>
    </row>
    <row r="5" spans="1:20" ht="15.75">
      <c r="A5" s="226"/>
      <c r="B5" s="226"/>
      <c r="C5" s="22" t="s">
        <v>6</v>
      </c>
      <c r="D5" s="22" t="s">
        <v>7</v>
      </c>
      <c r="E5" s="50"/>
      <c r="G5" s="108" t="s">
        <v>138</v>
      </c>
    </row>
    <row r="6" spans="1:20">
      <c r="A6" s="216" t="s">
        <v>139</v>
      </c>
      <c r="B6" s="216"/>
      <c r="C6" s="153">
        <f>'Detailed cash flow projection'!C7</f>
        <v>1</v>
      </c>
      <c r="D6" s="153">
        <f>'Detailed cash flow projection'!D7</f>
        <v>145</v>
      </c>
      <c r="E6" s="50"/>
    </row>
    <row r="7" spans="1:20">
      <c r="A7" s="225" t="s">
        <v>140</v>
      </c>
      <c r="B7" s="225"/>
      <c r="C7" s="154">
        <f>'Detailed cash flow projection'!C8</f>
        <v>56000</v>
      </c>
      <c r="D7" s="154">
        <f>'Detailed cash flow projection'!D8</f>
        <v>1141000</v>
      </c>
      <c r="E7" s="30"/>
    </row>
    <row r="8" spans="1:20" ht="16.5" thickBot="1">
      <c r="A8" s="33"/>
      <c r="B8" s="33"/>
      <c r="C8" s="33"/>
      <c r="D8" s="33"/>
      <c r="E8" s="205" t="s">
        <v>141</v>
      </c>
      <c r="F8" s="33"/>
      <c r="G8" s="33"/>
      <c r="H8" s="33"/>
      <c r="I8" s="33"/>
      <c r="J8" s="33"/>
      <c r="K8" s="33"/>
      <c r="L8" s="33"/>
      <c r="M8" s="33"/>
      <c r="N8" s="33"/>
      <c r="O8" s="33"/>
      <c r="P8" s="33"/>
      <c r="Q8" s="33"/>
      <c r="R8" s="33"/>
      <c r="S8" s="33"/>
      <c r="T8" s="33"/>
    </row>
    <row r="9" spans="1:20" ht="13.5" thickBot="1">
      <c r="A9" s="216" t="s">
        <v>142</v>
      </c>
      <c r="B9" s="216"/>
      <c r="C9" s="154">
        <f>'Detailed cash flow projection'!C9</f>
        <v>725000</v>
      </c>
      <c r="D9" s="50"/>
      <c r="E9" s="146" t="s">
        <v>143</v>
      </c>
    </row>
    <row r="10" spans="1:20" ht="13.5" thickBot="1"/>
    <row r="11" spans="1:20" ht="14.25" thickTop="1" thickBot="1">
      <c r="A11" s="5"/>
      <c r="B11" s="4"/>
      <c r="C11" s="6"/>
      <c r="D11" s="6"/>
      <c r="E11" s="6"/>
      <c r="F11" s="6"/>
      <c r="G11" s="6"/>
      <c r="H11" s="6"/>
      <c r="I11" s="6"/>
      <c r="J11" s="6"/>
      <c r="K11" s="6"/>
      <c r="L11" s="6"/>
      <c r="M11" s="6"/>
      <c r="N11" s="6"/>
      <c r="O11" s="6"/>
      <c r="P11" s="6"/>
      <c r="Q11" s="6"/>
      <c r="R11" s="6"/>
      <c r="S11" s="4"/>
      <c r="T11" s="7"/>
    </row>
    <row r="12" spans="1:20" ht="13.5" thickBot="1">
      <c r="A12" s="216" t="s">
        <v>16</v>
      </c>
      <c r="B12" s="216"/>
      <c r="C12" s="227" t="s">
        <v>17</v>
      </c>
      <c r="D12" s="228"/>
      <c r="E12" s="229"/>
      <c r="F12" s="230" t="s">
        <v>18</v>
      </c>
      <c r="G12" s="231"/>
      <c r="H12" s="232"/>
      <c r="I12" s="228" t="s">
        <v>19</v>
      </c>
      <c r="J12" s="228" t="s">
        <v>20</v>
      </c>
      <c r="K12" s="229"/>
      <c r="L12" s="230" t="s">
        <v>21</v>
      </c>
      <c r="M12" s="231" t="s">
        <v>22</v>
      </c>
      <c r="N12" s="232"/>
      <c r="O12" s="228" t="s">
        <v>23</v>
      </c>
      <c r="P12" s="228" t="s">
        <v>23</v>
      </c>
      <c r="Q12" s="229"/>
      <c r="R12" s="227" t="s">
        <v>24</v>
      </c>
      <c r="S12" s="228"/>
      <c r="T12" s="229"/>
    </row>
    <row r="13" spans="1:20">
      <c r="A13" s="216"/>
      <c r="B13" s="224"/>
      <c r="C13" s="116" t="s">
        <v>26</v>
      </c>
      <c r="D13" s="117" t="s">
        <v>27</v>
      </c>
      <c r="E13" s="120" t="s">
        <v>28</v>
      </c>
      <c r="F13" s="135" t="s">
        <v>26</v>
      </c>
      <c r="G13" s="117" t="s">
        <v>27</v>
      </c>
      <c r="H13" s="120" t="s">
        <v>28</v>
      </c>
      <c r="I13" s="135" t="s">
        <v>26</v>
      </c>
      <c r="J13" s="117" t="s">
        <v>27</v>
      </c>
      <c r="K13" s="118" t="s">
        <v>28</v>
      </c>
      <c r="L13" s="119" t="s">
        <v>26</v>
      </c>
      <c r="M13" s="117" t="s">
        <v>27</v>
      </c>
      <c r="N13" s="120" t="s">
        <v>28</v>
      </c>
      <c r="O13" s="135" t="s">
        <v>26</v>
      </c>
      <c r="P13" s="117" t="s">
        <v>27</v>
      </c>
      <c r="Q13" s="118" t="s">
        <v>28</v>
      </c>
      <c r="R13" s="119" t="s">
        <v>26</v>
      </c>
      <c r="S13" s="117" t="s">
        <v>27</v>
      </c>
      <c r="T13" s="120" t="s">
        <v>28</v>
      </c>
    </row>
    <row r="14" spans="1:20">
      <c r="A14" s="10"/>
      <c r="B14" s="96"/>
      <c r="C14" s="121"/>
      <c r="D14" s="16"/>
      <c r="E14" s="122"/>
      <c r="F14" s="137"/>
      <c r="G14" s="16"/>
      <c r="H14" s="122"/>
      <c r="I14" s="137"/>
      <c r="J14" s="16"/>
      <c r="K14" s="122"/>
      <c r="L14" s="130"/>
      <c r="M14" s="16"/>
      <c r="N14" s="122"/>
      <c r="O14" s="130"/>
      <c r="P14" s="10"/>
      <c r="Q14" s="122"/>
      <c r="R14" s="130"/>
      <c r="S14" s="10"/>
      <c r="T14" s="122"/>
    </row>
    <row r="15" spans="1:20">
      <c r="A15" s="25" t="s">
        <v>29</v>
      </c>
      <c r="B15" s="96"/>
      <c r="C15" s="121"/>
      <c r="D15" s="16"/>
      <c r="E15" s="122"/>
      <c r="F15" s="137"/>
      <c r="G15" s="16"/>
      <c r="H15" s="122"/>
      <c r="I15" s="137"/>
      <c r="J15" s="16"/>
      <c r="K15" s="122"/>
      <c r="L15" s="136"/>
      <c r="M15" s="17"/>
      <c r="N15" s="122"/>
      <c r="O15" s="136"/>
      <c r="P15" s="17"/>
      <c r="Q15" s="122"/>
      <c r="R15" s="130"/>
      <c r="S15" s="10"/>
      <c r="T15" s="122"/>
    </row>
    <row r="16" spans="1:20">
      <c r="A16" s="10" t="s">
        <v>30</v>
      </c>
      <c r="B16" s="96" t="s">
        <v>144</v>
      </c>
      <c r="C16" s="123">
        <f>'Detailed cash flow projection'!C20</f>
        <v>0</v>
      </c>
      <c r="D16" s="18">
        <f>'Detailed cash flow projection'!D20</f>
        <v>10150000</v>
      </c>
      <c r="E16" s="124">
        <f>'Detailed cash flow projection'!E20</f>
        <v>70000</v>
      </c>
      <c r="F16" s="131">
        <f>'Detailed cash flow projection'!F20</f>
        <v>0</v>
      </c>
      <c r="G16" s="18">
        <f>'Detailed cash flow projection'!G20</f>
        <v>0</v>
      </c>
      <c r="H16" s="124">
        <f>'Detailed cash flow projection'!H20</f>
        <v>0</v>
      </c>
      <c r="I16" s="131">
        <f>'Detailed cash flow projection'!I20</f>
        <v>0</v>
      </c>
      <c r="J16" s="18">
        <f>'Detailed cash flow projection'!J20</f>
        <v>0</v>
      </c>
      <c r="K16" s="124">
        <f>'Detailed cash flow projection'!K20</f>
        <v>0</v>
      </c>
      <c r="L16" s="131">
        <f>'Detailed cash flow projection'!L20</f>
        <v>0</v>
      </c>
      <c r="M16" s="18">
        <f>'Detailed cash flow projection'!M20</f>
        <v>0</v>
      </c>
      <c r="N16" s="124">
        <f>'Detailed cash flow projection'!N20</f>
        <v>0</v>
      </c>
      <c r="O16" s="131">
        <f>'Detailed cash flow projection'!O20</f>
        <v>0</v>
      </c>
      <c r="P16" s="18">
        <f>'Detailed cash flow projection'!P20</f>
        <v>0</v>
      </c>
      <c r="Q16" s="124">
        <f>'Detailed cash flow projection'!Q20</f>
        <v>0</v>
      </c>
      <c r="R16" s="131">
        <f>'Detailed cash flow projection'!R20</f>
        <v>0</v>
      </c>
      <c r="S16" s="18">
        <f>'Detailed cash flow projection'!S20</f>
        <v>10150000</v>
      </c>
      <c r="T16" s="124">
        <f>'Detailed cash flow projection'!T20</f>
        <v>70000</v>
      </c>
    </row>
    <row r="17" spans="1:21">
      <c r="A17" s="10" t="s">
        <v>42</v>
      </c>
      <c r="B17" s="96" t="s">
        <v>43</v>
      </c>
      <c r="C17" s="123">
        <f>'Detailed cash flow projection'!C22</f>
        <v>22500</v>
      </c>
      <c r="D17" s="18">
        <f>'Detailed cash flow projection'!D22</f>
        <v>0</v>
      </c>
      <c r="E17" s="124">
        <f>'Detailed cash flow projection'!E22</f>
        <v>22500</v>
      </c>
      <c r="F17" s="131">
        <f>'Detailed cash flow projection'!F22</f>
        <v>0</v>
      </c>
      <c r="G17" s="18">
        <f>'Detailed cash flow projection'!G22</f>
        <v>0</v>
      </c>
      <c r="H17" s="124">
        <f>'Detailed cash flow projection'!H22</f>
        <v>0</v>
      </c>
      <c r="I17" s="131">
        <f>'Detailed cash flow projection'!I22</f>
        <v>0</v>
      </c>
      <c r="J17" s="18">
        <f>'Detailed cash flow projection'!J22</f>
        <v>0</v>
      </c>
      <c r="K17" s="124">
        <f>'Detailed cash flow projection'!K22</f>
        <v>0</v>
      </c>
      <c r="L17" s="131">
        <f>'Detailed cash flow projection'!L22</f>
        <v>0</v>
      </c>
      <c r="M17" s="18">
        <f>'Detailed cash flow projection'!M22</f>
        <v>0</v>
      </c>
      <c r="N17" s="124">
        <f>'Detailed cash flow projection'!N22</f>
        <v>0</v>
      </c>
      <c r="O17" s="131">
        <f>'Detailed cash flow projection'!O22</f>
        <v>0</v>
      </c>
      <c r="P17" s="18">
        <f>'Detailed cash flow projection'!P22</f>
        <v>0</v>
      </c>
      <c r="Q17" s="124">
        <f>'Detailed cash flow projection'!Q22</f>
        <v>0</v>
      </c>
      <c r="R17" s="131">
        <f>'Detailed cash flow projection'!R22</f>
        <v>22500</v>
      </c>
      <c r="S17" s="18">
        <f>'Detailed cash flow projection'!S22</f>
        <v>0</v>
      </c>
      <c r="T17" s="124">
        <f>'Detailed cash flow projection'!T22</f>
        <v>22500</v>
      </c>
    </row>
    <row r="18" spans="1:21">
      <c r="A18" s="10" t="s">
        <v>45</v>
      </c>
      <c r="B18" s="96" t="s">
        <v>46</v>
      </c>
      <c r="C18" s="125">
        <f>'Detailed cash flow projection'!C24</f>
        <v>2100</v>
      </c>
      <c r="D18" s="26">
        <f>'Detailed cash flow projection'!D24</f>
        <v>130500</v>
      </c>
      <c r="E18" s="124">
        <f>'Detailed cash flow projection'!E24</f>
        <v>3000</v>
      </c>
      <c r="F18" s="132">
        <f>'Detailed cash flow projection'!F24</f>
        <v>2100</v>
      </c>
      <c r="G18" s="26">
        <f>'Detailed cash flow projection'!G24</f>
        <v>130500</v>
      </c>
      <c r="H18" s="124">
        <f>'Detailed cash flow projection'!H24</f>
        <v>3000</v>
      </c>
      <c r="I18" s="132">
        <f>'Detailed cash flow projection'!I24</f>
        <v>2100</v>
      </c>
      <c r="J18" s="26">
        <f>'Detailed cash flow projection'!J24</f>
        <v>130500</v>
      </c>
      <c r="K18" s="124">
        <f>'Detailed cash flow projection'!K24</f>
        <v>3000</v>
      </c>
      <c r="L18" s="132">
        <f>'Detailed cash flow projection'!L24</f>
        <v>2100</v>
      </c>
      <c r="M18" s="26">
        <f>'Detailed cash flow projection'!M24</f>
        <v>130500</v>
      </c>
      <c r="N18" s="124">
        <f>'Detailed cash flow projection'!N24</f>
        <v>3000</v>
      </c>
      <c r="O18" s="132">
        <f>'Detailed cash flow projection'!O24</f>
        <v>2100</v>
      </c>
      <c r="P18" s="26">
        <f>'Detailed cash flow projection'!P24</f>
        <v>130500</v>
      </c>
      <c r="Q18" s="124">
        <f>'Detailed cash flow projection'!Q24</f>
        <v>3000</v>
      </c>
      <c r="R18" s="132">
        <f>'Detailed cash flow projection'!R24</f>
        <v>10500</v>
      </c>
      <c r="S18" s="26">
        <f>'Detailed cash flow projection'!S24</f>
        <v>652500</v>
      </c>
      <c r="T18" s="124">
        <f>'Detailed cash flow projection'!T24</f>
        <v>15000</v>
      </c>
    </row>
    <row r="19" spans="1:21">
      <c r="A19" s="10" t="s">
        <v>48</v>
      </c>
      <c r="B19" s="97" t="s">
        <v>145</v>
      </c>
      <c r="C19" s="123">
        <f t="shared" ref="C19:R19" si="0">SUM(C16:C18)</f>
        <v>24600</v>
      </c>
      <c r="D19" s="18">
        <f t="shared" si="0"/>
        <v>10280500</v>
      </c>
      <c r="E19" s="124">
        <f t="shared" ref="E19" si="1">SUM(E16:E18)</f>
        <v>95500</v>
      </c>
      <c r="F19" s="131">
        <f t="shared" si="0"/>
        <v>2100</v>
      </c>
      <c r="G19" s="18">
        <f t="shared" si="0"/>
        <v>130500</v>
      </c>
      <c r="H19" s="124">
        <f t="shared" ref="H19" si="2">SUM(H16:H18)</f>
        <v>3000</v>
      </c>
      <c r="I19" s="131">
        <f t="shared" si="0"/>
        <v>2100</v>
      </c>
      <c r="J19" s="18">
        <f t="shared" si="0"/>
        <v>130500</v>
      </c>
      <c r="K19" s="124">
        <f t="shared" ref="K19" si="3">SUM(K16:K18)</f>
        <v>3000</v>
      </c>
      <c r="L19" s="131">
        <f t="shared" si="0"/>
        <v>2100</v>
      </c>
      <c r="M19" s="18">
        <f t="shared" si="0"/>
        <v>130500</v>
      </c>
      <c r="N19" s="124">
        <f t="shared" ref="N19" si="4">SUM(N16:N18)</f>
        <v>3000</v>
      </c>
      <c r="O19" s="131">
        <f t="shared" si="0"/>
        <v>2100</v>
      </c>
      <c r="P19" s="18">
        <f t="shared" si="0"/>
        <v>130500</v>
      </c>
      <c r="Q19" s="124">
        <f t="shared" ref="Q19" si="5">SUM(Q16:Q18)</f>
        <v>3000</v>
      </c>
      <c r="R19" s="131">
        <f t="shared" si="0"/>
        <v>33000</v>
      </c>
      <c r="S19" s="18">
        <f>SUM(S16:S18)</f>
        <v>10802500</v>
      </c>
      <c r="T19" s="124">
        <f t="shared" ref="T19" si="6">SUM(T16:T18)</f>
        <v>107500</v>
      </c>
    </row>
    <row r="20" spans="1:21">
      <c r="A20" s="10"/>
      <c r="B20" s="96"/>
      <c r="C20" s="123"/>
      <c r="D20" s="18"/>
      <c r="E20" s="124"/>
      <c r="F20" s="131"/>
      <c r="G20" s="18"/>
      <c r="H20" s="124"/>
      <c r="I20" s="131"/>
      <c r="J20" s="18"/>
      <c r="K20" s="124"/>
      <c r="L20" s="131"/>
      <c r="M20" s="18"/>
      <c r="N20" s="124"/>
      <c r="O20" s="131"/>
      <c r="P20" s="18"/>
      <c r="Q20" s="124"/>
      <c r="R20" s="133"/>
      <c r="S20" s="11"/>
      <c r="T20" s="124"/>
    </row>
    <row r="21" spans="1:21">
      <c r="A21" s="25" t="s">
        <v>50</v>
      </c>
      <c r="B21" s="96"/>
      <c r="C21" s="123"/>
      <c r="D21" s="18"/>
      <c r="E21" s="124"/>
      <c r="F21" s="131"/>
      <c r="G21" s="18"/>
      <c r="H21" s="124"/>
      <c r="I21" s="131"/>
      <c r="J21" s="18"/>
      <c r="K21" s="124"/>
      <c r="L21" s="133"/>
      <c r="M21" s="11"/>
      <c r="N21" s="124"/>
      <c r="O21" s="133"/>
      <c r="P21" s="11"/>
      <c r="Q21" s="124"/>
      <c r="R21" s="133"/>
      <c r="S21" s="11"/>
      <c r="T21" s="124"/>
    </row>
    <row r="22" spans="1:21">
      <c r="A22" s="10" t="s">
        <v>51</v>
      </c>
      <c r="B22" s="96" t="s">
        <v>146</v>
      </c>
      <c r="C22" s="125">
        <f>'Detailed cash flow projection'!C34</f>
        <v>-364000</v>
      </c>
      <c r="D22" s="26">
        <f>'Detailed cash flow projection'!D34</f>
        <v>-19720000</v>
      </c>
      <c r="E22" s="124">
        <f>'Detailed cash flow projection'!E34</f>
        <v>-500000</v>
      </c>
      <c r="F22" s="132">
        <f>'Detailed cash flow projection'!F34</f>
        <v>-75000</v>
      </c>
      <c r="G22" s="26">
        <f>'Detailed cash flow projection'!G34</f>
        <v>0</v>
      </c>
      <c r="H22" s="124">
        <f>'Detailed cash flow projection'!H34</f>
        <v>-75000</v>
      </c>
      <c r="I22" s="132">
        <f>'Detailed cash flow projection'!I34</f>
        <v>-25000</v>
      </c>
      <c r="J22" s="26">
        <f>'Detailed cash flow projection'!J34</f>
        <v>0</v>
      </c>
      <c r="K22" s="124">
        <f>'Detailed cash flow projection'!K34</f>
        <v>-25000</v>
      </c>
      <c r="L22" s="132">
        <f>'Detailed cash flow projection'!L34</f>
        <v>0</v>
      </c>
      <c r="M22" s="26">
        <f>'Detailed cash flow projection'!M34</f>
        <v>0</v>
      </c>
      <c r="N22" s="124">
        <f>'Detailed cash flow projection'!N34</f>
        <v>0</v>
      </c>
      <c r="O22" s="132">
        <f>'Detailed cash flow projection'!O34</f>
        <v>-50000</v>
      </c>
      <c r="P22" s="26">
        <f>'Detailed cash flow projection'!P34</f>
        <v>0</v>
      </c>
      <c r="Q22" s="124">
        <f>'Detailed cash flow projection'!Q34</f>
        <v>-50000</v>
      </c>
      <c r="R22" s="132">
        <f>'Detailed cash flow projection'!R34</f>
        <v>-514000</v>
      </c>
      <c r="S22" s="26">
        <f>'Detailed cash flow projection'!S34</f>
        <v>-19720000</v>
      </c>
      <c r="T22" s="124">
        <f>'Detailed cash flow projection'!T34</f>
        <v>-650000</v>
      </c>
    </row>
    <row r="23" spans="1:21">
      <c r="A23" s="10" t="s">
        <v>58</v>
      </c>
      <c r="B23" s="142" t="s">
        <v>147</v>
      </c>
      <c r="C23" s="125">
        <f>'Detailed cash flow projection'!C36</f>
        <v>0</v>
      </c>
      <c r="D23" s="26">
        <f>'Detailed cash flow projection'!D36</f>
        <v>-543750</v>
      </c>
      <c r="E23" s="124">
        <f>'Detailed cash flow projection'!E36</f>
        <v>-3750</v>
      </c>
      <c r="F23" s="132">
        <f>'Detailed cash flow projection'!F36</f>
        <v>-15000</v>
      </c>
      <c r="G23" s="26">
        <f>'Detailed cash flow projection'!G36</f>
        <v>-418750</v>
      </c>
      <c r="H23" s="124">
        <f>'Detailed cash flow projection'!H36</f>
        <v>-17887.931034482757</v>
      </c>
      <c r="I23" s="132">
        <f>'Detailed cash flow projection'!I36</f>
        <v>-20000</v>
      </c>
      <c r="J23" s="26">
        <f>'Detailed cash flow projection'!J36</f>
        <v>-500000</v>
      </c>
      <c r="K23" s="124">
        <f>'Detailed cash flow projection'!K36</f>
        <v>-23448.275862068964</v>
      </c>
      <c r="L23" s="132">
        <f>'Detailed cash flow projection'!L36</f>
        <v>-5000</v>
      </c>
      <c r="M23" s="26">
        <f>'Detailed cash flow projection'!M36</f>
        <v>-435000</v>
      </c>
      <c r="N23" s="124">
        <f>'Detailed cash flow projection'!N36</f>
        <v>-8000</v>
      </c>
      <c r="O23" s="132">
        <f>'Detailed cash flow projection'!O36</f>
        <v>-35000</v>
      </c>
      <c r="P23" s="26">
        <f>'Detailed cash flow projection'!P36</f>
        <v>-821250</v>
      </c>
      <c r="Q23" s="124">
        <f>'Detailed cash flow projection'!Q36</f>
        <v>-40663.793103448275</v>
      </c>
      <c r="R23" s="132">
        <f>'Detailed cash flow projection'!R36</f>
        <v>-75000</v>
      </c>
      <c r="S23" s="26">
        <f>'Detailed cash flow projection'!S36</f>
        <v>-2718750</v>
      </c>
      <c r="T23" s="124">
        <f>'Detailed cash flow projection'!T36</f>
        <v>-93750</v>
      </c>
    </row>
    <row r="24" spans="1:21">
      <c r="A24" s="10" t="s">
        <v>60</v>
      </c>
      <c r="B24" s="96" t="s">
        <v>148</v>
      </c>
      <c r="C24" s="125">
        <f>'Detailed cash flow projection'!C47</f>
        <v>-15575</v>
      </c>
      <c r="D24" s="26">
        <f>'Detailed cash flow projection'!D47</f>
        <v>-4230375</v>
      </c>
      <c r="E24" s="124">
        <f>'Detailed cash flow projection'!E47</f>
        <v>-44750</v>
      </c>
      <c r="F24" s="132">
        <f>'Detailed cash flow projection'!F47</f>
        <v>-8075</v>
      </c>
      <c r="G24" s="26">
        <f>'Detailed cash flow projection'!G47</f>
        <v>-2880375</v>
      </c>
      <c r="H24" s="124">
        <f>'Detailed cash flow projection'!H47</f>
        <v>-27939.655172413793</v>
      </c>
      <c r="I24" s="132">
        <f>'Detailed cash flow projection'!I47</f>
        <v>-2075</v>
      </c>
      <c r="J24" s="26">
        <f>'Detailed cash flow projection'!J47</f>
        <v>-1475375</v>
      </c>
      <c r="K24" s="124">
        <f>'Detailed cash flow projection'!K47</f>
        <v>-12250</v>
      </c>
      <c r="L24" s="132">
        <f>'Detailed cash flow projection'!L47</f>
        <v>-8075</v>
      </c>
      <c r="M24" s="26">
        <f>'Detailed cash flow projection'!M47</f>
        <v>-1249125</v>
      </c>
      <c r="N24" s="124">
        <f>'Detailed cash flow projection'!N47</f>
        <v>-16689.655172413793</v>
      </c>
      <c r="O24" s="132">
        <f>'Detailed cash flow projection'!O47</f>
        <v>-225575</v>
      </c>
      <c r="P24" s="26">
        <f>'Detailed cash flow projection'!P47</f>
        <v>-8217875</v>
      </c>
      <c r="Q24" s="124">
        <f>'Detailed cash flow projection'!Q47</f>
        <v>-282250</v>
      </c>
      <c r="R24" s="132">
        <f>'Detailed cash flow projection'!R47</f>
        <v>-259375</v>
      </c>
      <c r="S24" s="26">
        <f>'Detailed cash flow projection'!S47</f>
        <v>-18053125</v>
      </c>
      <c r="T24" s="124">
        <f>'Detailed cash flow projection'!T47</f>
        <v>-383879.31034482759</v>
      </c>
    </row>
    <row r="25" spans="1:21">
      <c r="A25" s="10" t="s">
        <v>75</v>
      </c>
      <c r="B25" s="96" t="s">
        <v>149</v>
      </c>
      <c r="C25" s="125">
        <f>'Detailed cash flow projection'!C53</f>
        <v>-900</v>
      </c>
      <c r="D25" s="26">
        <f>'Detailed cash flow projection'!D53</f>
        <v>-23000</v>
      </c>
      <c r="E25" s="124">
        <f>'Detailed cash flow projection'!E53</f>
        <v>-1058.6206896551723</v>
      </c>
      <c r="F25" s="132">
        <f>'Detailed cash flow projection'!F53</f>
        <v>-22000</v>
      </c>
      <c r="G25" s="26">
        <f>'Detailed cash flow projection'!G53</f>
        <v>-128100</v>
      </c>
      <c r="H25" s="124">
        <f>'Detailed cash flow projection'!H53</f>
        <v>-22883.448275862069</v>
      </c>
      <c r="I25" s="132">
        <f>'Detailed cash flow projection'!I53</f>
        <v>-440</v>
      </c>
      <c r="J25" s="26">
        <f>'Detailed cash flow projection'!J53</f>
        <v>-75200</v>
      </c>
      <c r="K25" s="124">
        <f>'Detailed cash flow projection'!K53</f>
        <v>-958.62068965517244</v>
      </c>
      <c r="L25" s="132">
        <f>'Detailed cash flow projection'!L53</f>
        <v>-3900</v>
      </c>
      <c r="M25" s="26">
        <f>'Detailed cash flow projection'!M53</f>
        <v>-38500</v>
      </c>
      <c r="N25" s="124">
        <f>'Detailed cash flow projection'!N53</f>
        <v>-4165.5172413793107</v>
      </c>
      <c r="O25" s="132">
        <f>'Detailed cash flow projection'!O53</f>
        <v>-400</v>
      </c>
      <c r="P25" s="26">
        <f>'Detailed cash flow projection'!P53</f>
        <v>-75200</v>
      </c>
      <c r="Q25" s="124">
        <f>'Detailed cash flow projection'!Q53</f>
        <v>-918.62068965517244</v>
      </c>
      <c r="R25" s="132">
        <f>'Detailed cash flow projection'!R53</f>
        <v>-27640</v>
      </c>
      <c r="S25" s="26">
        <f>'Detailed cash flow projection'!S53</f>
        <v>-340000</v>
      </c>
      <c r="T25" s="124">
        <f>'Detailed cash flow projection'!T53</f>
        <v>-29984.827586206902</v>
      </c>
    </row>
    <row r="26" spans="1:21">
      <c r="A26" s="10" t="s">
        <v>80</v>
      </c>
      <c r="B26" s="142" t="s">
        <v>150</v>
      </c>
      <c r="C26" s="123">
        <f>'Detailed cash flow projection'!C54</f>
        <v>0</v>
      </c>
      <c r="D26" s="18">
        <f>'Detailed cash flow projection'!D54</f>
        <v>0</v>
      </c>
      <c r="E26" s="124">
        <f>'Detailed cash flow projection'!E54</f>
        <v>0</v>
      </c>
      <c r="F26" s="131">
        <f>'Detailed cash flow projection'!F54</f>
        <v>0</v>
      </c>
      <c r="G26" s="18">
        <f>'Detailed cash flow projection'!G54</f>
        <v>0</v>
      </c>
      <c r="H26" s="124">
        <f>'Detailed cash flow projection'!H54</f>
        <v>0</v>
      </c>
      <c r="I26" s="131">
        <f>'Detailed cash flow projection'!I54</f>
        <v>0</v>
      </c>
      <c r="J26" s="18">
        <f>'Detailed cash flow projection'!J54</f>
        <v>0</v>
      </c>
      <c r="K26" s="124">
        <f>'Detailed cash flow projection'!K54</f>
        <v>0</v>
      </c>
      <c r="L26" s="131">
        <f>'Detailed cash flow projection'!L54</f>
        <v>0</v>
      </c>
      <c r="M26" s="18">
        <f>'Detailed cash flow projection'!M54</f>
        <v>0</v>
      </c>
      <c r="N26" s="124">
        <f>'Detailed cash flow projection'!N54</f>
        <v>0</v>
      </c>
      <c r="O26" s="131">
        <f>'Detailed cash flow projection'!O54</f>
        <v>0</v>
      </c>
      <c r="P26" s="18">
        <f>'Detailed cash flow projection'!P54</f>
        <v>0</v>
      </c>
      <c r="Q26" s="124">
        <f>'Detailed cash flow projection'!Q54</f>
        <v>0</v>
      </c>
      <c r="R26" s="131">
        <f>'Detailed cash flow projection'!R54</f>
        <v>0</v>
      </c>
      <c r="S26" s="18">
        <f>'Detailed cash flow projection'!S54</f>
        <v>0</v>
      </c>
      <c r="T26" s="124">
        <f>'Detailed cash flow projection'!T54</f>
        <v>0</v>
      </c>
    </row>
    <row r="27" spans="1:21">
      <c r="A27" s="10" t="s">
        <v>82</v>
      </c>
      <c r="B27" s="97" t="s">
        <v>83</v>
      </c>
      <c r="C27" s="123">
        <f>SUM(C22:C26)</f>
        <v>-380475</v>
      </c>
      <c r="D27" s="18">
        <f t="shared" ref="D27:R27" si="7">SUM(D22:D26)</f>
        <v>-24517125</v>
      </c>
      <c r="E27" s="124">
        <f t="shared" ref="E27" si="8">SUM(E22:E26)</f>
        <v>-549558.62068965519</v>
      </c>
      <c r="F27" s="131">
        <f t="shared" si="7"/>
        <v>-120075</v>
      </c>
      <c r="G27" s="18">
        <f t="shared" si="7"/>
        <v>-3427225</v>
      </c>
      <c r="H27" s="124">
        <f t="shared" ref="H27" si="9">SUM(H22:H26)</f>
        <v>-143711.03448275861</v>
      </c>
      <c r="I27" s="131">
        <f t="shared" si="7"/>
        <v>-47515</v>
      </c>
      <c r="J27" s="18">
        <f t="shared" si="7"/>
        <v>-2050575</v>
      </c>
      <c r="K27" s="124">
        <f t="shared" ref="K27" si="10">SUM(K22:K26)</f>
        <v>-61656.896551724138</v>
      </c>
      <c r="L27" s="131">
        <f t="shared" si="7"/>
        <v>-16975</v>
      </c>
      <c r="M27" s="18">
        <f t="shared" si="7"/>
        <v>-1722625</v>
      </c>
      <c r="N27" s="124">
        <f t="shared" ref="N27" si="11">SUM(N22:N26)</f>
        <v>-28855.172413793105</v>
      </c>
      <c r="O27" s="131">
        <f t="shared" si="7"/>
        <v>-310975</v>
      </c>
      <c r="P27" s="18">
        <f t="shared" si="7"/>
        <v>-9114325</v>
      </c>
      <c r="Q27" s="124">
        <f t="shared" ref="Q27" si="12">SUM(Q22:Q26)</f>
        <v>-373832.41379310348</v>
      </c>
      <c r="R27" s="131">
        <f t="shared" si="7"/>
        <v>-876015</v>
      </c>
      <c r="S27" s="18">
        <f>SUM(S22:S26)</f>
        <v>-40831875</v>
      </c>
      <c r="T27" s="124">
        <f t="shared" ref="T27" si="13">SUM(T22:T26)</f>
        <v>-1157614.1379310344</v>
      </c>
    </row>
    <row r="28" spans="1:21">
      <c r="A28" s="10"/>
      <c r="B28" s="96"/>
      <c r="C28" s="123"/>
      <c r="D28" s="18"/>
      <c r="E28" s="124"/>
      <c r="F28" s="131"/>
      <c r="G28" s="18"/>
      <c r="H28" s="124"/>
      <c r="I28" s="131"/>
      <c r="J28" s="18"/>
      <c r="K28" s="124"/>
      <c r="L28" s="133"/>
      <c r="M28" s="11"/>
      <c r="N28" s="124"/>
      <c r="O28" s="133"/>
      <c r="P28" s="11"/>
      <c r="Q28" s="124"/>
      <c r="R28" s="130"/>
      <c r="S28" s="10"/>
      <c r="T28" s="124"/>
    </row>
    <row r="29" spans="1:21">
      <c r="A29" s="10" t="s">
        <v>84</v>
      </c>
      <c r="B29" s="114" t="s">
        <v>85</v>
      </c>
      <c r="C29" s="123">
        <f>+C27+C19</f>
        <v>-355875</v>
      </c>
      <c r="D29" s="18">
        <f t="shared" ref="D29:R29" si="14">+D27+D19</f>
        <v>-14236625</v>
      </c>
      <c r="E29" s="124">
        <f t="shared" ref="E29" si="15">+E27+E19</f>
        <v>-454058.62068965519</v>
      </c>
      <c r="F29" s="131">
        <f t="shared" si="14"/>
        <v>-117975</v>
      </c>
      <c r="G29" s="18">
        <f t="shared" si="14"/>
        <v>-3296725</v>
      </c>
      <c r="H29" s="124">
        <f t="shared" ref="H29" si="16">+H27+H19</f>
        <v>-140711.03448275861</v>
      </c>
      <c r="I29" s="131">
        <f t="shared" si="14"/>
        <v>-45415</v>
      </c>
      <c r="J29" s="18">
        <f t="shared" si="14"/>
        <v>-1920075</v>
      </c>
      <c r="K29" s="124">
        <f t="shared" ref="K29" si="17">+K27+K19</f>
        <v>-58656.896551724138</v>
      </c>
      <c r="L29" s="131">
        <f t="shared" si="14"/>
        <v>-14875</v>
      </c>
      <c r="M29" s="18">
        <f t="shared" si="14"/>
        <v>-1592125</v>
      </c>
      <c r="N29" s="124">
        <f t="shared" ref="N29" si="18">+N27+N19</f>
        <v>-25855.172413793105</v>
      </c>
      <c r="O29" s="131">
        <f t="shared" si="14"/>
        <v>-308875</v>
      </c>
      <c r="P29" s="18">
        <f t="shared" si="14"/>
        <v>-8983825</v>
      </c>
      <c r="Q29" s="124">
        <f t="shared" ref="Q29" si="19">+Q27+Q19</f>
        <v>-370832.41379310348</v>
      </c>
      <c r="R29" s="131">
        <f t="shared" si="14"/>
        <v>-843015</v>
      </c>
      <c r="S29" s="18">
        <f>+S27+S19</f>
        <v>-30029375</v>
      </c>
      <c r="T29" s="124">
        <f t="shared" ref="T29" si="20">+T27+T19</f>
        <v>-1050114.1379310344</v>
      </c>
    </row>
    <row r="30" spans="1:21">
      <c r="A30" s="10" t="s">
        <v>86</v>
      </c>
      <c r="B30" s="96" t="str">
        <f>'Detailed cash flow projection'!B59</f>
        <v>Beginning Balance</v>
      </c>
      <c r="C30" s="126">
        <f>'Detailed cash flow projection'!C59</f>
        <v>56000</v>
      </c>
      <c r="D30" s="23">
        <f>'Detailed cash flow projection'!D59</f>
        <v>1141000</v>
      </c>
      <c r="E30" s="127">
        <f>'Detailed cash flow projection'!E59</f>
        <v>63868.965517241377</v>
      </c>
      <c r="F30" s="134">
        <f>'Detailed cash flow projection'!F59</f>
        <v>87656</v>
      </c>
      <c r="G30" s="34">
        <f>'Detailed cash flow projection'!G59</f>
        <v>9931000</v>
      </c>
      <c r="H30" s="127">
        <f>'Detailed cash flow projection'!H59</f>
        <v>156145.6551724138</v>
      </c>
      <c r="I30" s="134">
        <f>'Detailed cash flow projection'!I59</f>
        <v>71521</v>
      </c>
      <c r="J30" s="34">
        <f>'Detailed cash flow projection'!J59</f>
        <v>10131491</v>
      </c>
      <c r="K30" s="127">
        <f>'Detailed cash flow projection'!K59</f>
        <v>141393.35172413793</v>
      </c>
      <c r="L30" s="134">
        <f>'Detailed cash flow projection'!L59</f>
        <v>72521</v>
      </c>
      <c r="M30" s="34">
        <f>'Detailed cash flow projection'!M59</f>
        <v>10660984</v>
      </c>
      <c r="N30" s="127">
        <f>'Detailed cash flow projection'!N59</f>
        <v>146045.02758620691</v>
      </c>
      <c r="O30" s="134">
        <f>'Detailed cash flow projection'!O59</f>
        <v>72500</v>
      </c>
      <c r="P30" s="34">
        <f>'Detailed cash flow projection'!P59</f>
        <v>10512500</v>
      </c>
      <c r="Q30" s="127">
        <f>'Detailed cash flow projection'!Q59</f>
        <v>145000</v>
      </c>
      <c r="R30" s="134">
        <f>'Detailed cash flow projection'!R59</f>
        <v>56000</v>
      </c>
      <c r="S30" s="34">
        <f>'Detailed cash flow projection'!S59</f>
        <v>1141000</v>
      </c>
      <c r="T30" s="127">
        <f>'Detailed cash flow projection'!T59</f>
        <v>63868.965517241377</v>
      </c>
      <c r="U30" s="8"/>
    </row>
    <row r="31" spans="1:21">
      <c r="A31" s="31" t="s">
        <v>88</v>
      </c>
      <c r="B31" s="97" t="str">
        <f>'Detailed cash flow projection'!B60</f>
        <v>Net Cash Bal before Conversion &amp; ZBA Draw</v>
      </c>
      <c r="C31" s="128">
        <f>'Detailed cash flow projection'!C60</f>
        <v>-299875</v>
      </c>
      <c r="D31" s="34">
        <f>'Detailed cash flow projection'!D60</f>
        <v>-2945625</v>
      </c>
      <c r="E31" s="129">
        <f>'Detailed cash flow projection'!E60</f>
        <v>-320189.6551724138</v>
      </c>
      <c r="F31" s="134">
        <f>'Detailed cash flow projection'!F60</f>
        <v>-30319</v>
      </c>
      <c r="G31" s="34">
        <f>'Detailed cash flow projection'!G60</f>
        <v>6634275</v>
      </c>
      <c r="H31" s="129">
        <f>'Detailed cash flow projection'!H60</f>
        <v>15434.620689655174</v>
      </c>
      <c r="I31" s="134">
        <f>'Detailed cash flow projection'!I60</f>
        <v>26106</v>
      </c>
      <c r="J31" s="34">
        <f>'Detailed cash flow projection'!J60</f>
        <v>8211416</v>
      </c>
      <c r="K31" s="129">
        <f>'Detailed cash flow projection'!K60</f>
        <v>82736.455172413785</v>
      </c>
      <c r="L31" s="134">
        <f>'Detailed cash flow projection'!L60</f>
        <v>57646</v>
      </c>
      <c r="M31" s="34">
        <f>'Detailed cash flow projection'!M60</f>
        <v>9068859</v>
      </c>
      <c r="N31" s="129">
        <f>'Detailed cash flow projection'!N60</f>
        <v>120189.85517241379</v>
      </c>
      <c r="O31" s="134">
        <f>'Detailed cash flow projection'!O60</f>
        <v>-236375</v>
      </c>
      <c r="P31" s="34">
        <f>'Detailed cash flow projection'!P60</f>
        <v>1528675</v>
      </c>
      <c r="Q31" s="129">
        <f>'Detailed cash flow projection'!Q60</f>
        <v>-225832.41379310345</v>
      </c>
      <c r="R31" s="134">
        <f>'Detailed cash flow projection'!R60</f>
        <v>-482817</v>
      </c>
      <c r="S31" s="34">
        <f>'Detailed cash flow projection'!S60</f>
        <v>22497600</v>
      </c>
      <c r="T31" s="129">
        <f>'Detailed cash flow projection'!T60</f>
        <v>-916245.17241379316</v>
      </c>
      <c r="U31" s="8"/>
    </row>
    <row r="32" spans="1:21">
      <c r="A32" s="32"/>
      <c r="B32" s="96"/>
      <c r="C32" s="128"/>
      <c r="D32" s="34"/>
      <c r="E32" s="129"/>
      <c r="F32" s="134"/>
      <c r="G32" s="34"/>
      <c r="H32" s="129"/>
      <c r="I32" s="134"/>
      <c r="J32" s="34"/>
      <c r="K32" s="129"/>
      <c r="L32" s="134"/>
      <c r="M32" s="34"/>
      <c r="N32" s="129"/>
      <c r="O32" s="134"/>
      <c r="P32" s="34"/>
      <c r="Q32" s="129"/>
      <c r="R32" s="134"/>
      <c r="S32" s="34"/>
      <c r="T32" s="129"/>
      <c r="U32" s="8"/>
    </row>
    <row r="33" spans="1:21" s="3" customFormat="1">
      <c r="A33" s="138" t="s">
        <v>90</v>
      </c>
      <c r="B33" s="97" t="str">
        <f>'Detailed cash flow projection'!B62</f>
        <v>ZBA Drawing / Currency Conversion Required</v>
      </c>
      <c r="C33" s="128">
        <f>'Detailed cash flow projection'!C62</f>
        <v>372375</v>
      </c>
      <c r="D33" s="34">
        <f>'Detailed cash flow projection'!D62</f>
        <v>13458125</v>
      </c>
      <c r="E33" s="129">
        <f>'Detailed cash flow projection'!E62</f>
        <v>465189.6551724138</v>
      </c>
      <c r="F33" s="134">
        <f>'Detailed cash flow projection'!F62</f>
        <v>102819</v>
      </c>
      <c r="G33" s="34">
        <f>'Detailed cash flow projection'!G62</f>
        <v>3878225</v>
      </c>
      <c r="H33" s="129">
        <f>'Detailed cash flow projection'!H62</f>
        <v>129565.37931034483</v>
      </c>
      <c r="I33" s="134">
        <f>'Detailed cash flow projection'!I62</f>
        <v>46394</v>
      </c>
      <c r="J33" s="34">
        <f>'Detailed cash flow projection'!J62</f>
        <v>2301084</v>
      </c>
      <c r="K33" s="129">
        <f>'Detailed cash flow projection'!K62</f>
        <v>62263.544827586207</v>
      </c>
      <c r="L33" s="134">
        <f>'Detailed cash flow projection'!L62</f>
        <v>14854</v>
      </c>
      <c r="M33" s="34">
        <f>'Detailed cash flow projection'!M62</f>
        <v>1443641</v>
      </c>
      <c r="N33" s="129">
        <f>'Detailed cash flow projection'!N62</f>
        <v>24810.144827586206</v>
      </c>
      <c r="O33" s="134">
        <f>'Detailed cash flow projection'!O62</f>
        <v>308875</v>
      </c>
      <c r="P33" s="34">
        <f>'Detailed cash flow projection'!P62</f>
        <v>8983825</v>
      </c>
      <c r="Q33" s="129">
        <f>'Detailed cash flow projection'!Q62</f>
        <v>370832.41379310342</v>
      </c>
      <c r="R33" s="134">
        <f>'Detailed cash flow projection'!R62</f>
        <v>845317</v>
      </c>
      <c r="S33" s="34">
        <f>'Detailed cash flow projection'!S62</f>
        <v>30064900</v>
      </c>
      <c r="T33" s="129">
        <f>'Detailed cash flow projection'!T62</f>
        <v>1052661.1379310344</v>
      </c>
      <c r="U33" s="139"/>
    </row>
    <row r="34" spans="1:21" s="2" customFormat="1">
      <c r="A34" s="31"/>
      <c r="B34" s="96"/>
      <c r="C34" s="128"/>
      <c r="D34" s="34"/>
      <c r="E34" s="129"/>
      <c r="F34" s="134"/>
      <c r="G34" s="34"/>
      <c r="H34" s="129"/>
      <c r="I34" s="134"/>
      <c r="J34" s="34"/>
      <c r="K34" s="129"/>
      <c r="L34" s="134"/>
      <c r="M34" s="34"/>
      <c r="N34" s="129"/>
      <c r="O34" s="134"/>
      <c r="P34" s="34"/>
      <c r="Q34" s="129"/>
      <c r="R34" s="134"/>
      <c r="S34" s="34"/>
      <c r="T34" s="129"/>
      <c r="U34" s="27"/>
    </row>
    <row r="35" spans="1:21">
      <c r="A35" s="138" t="s">
        <v>92</v>
      </c>
      <c r="B35" s="97" t="str">
        <f>'Detailed cash flow projection'!B64</f>
        <v>Estimated Weekly Cashbook Balance</v>
      </c>
      <c r="C35" s="128">
        <f>'Detailed cash flow projection'!C64</f>
        <v>72500</v>
      </c>
      <c r="D35" s="34">
        <f>'Detailed cash flow projection'!D64</f>
        <v>10512500</v>
      </c>
      <c r="E35" s="129">
        <f>'Detailed cash flow projection'!E64</f>
        <v>145000</v>
      </c>
      <c r="F35" s="134">
        <f>'Detailed cash flow projection'!F64</f>
        <v>72500</v>
      </c>
      <c r="G35" s="34">
        <f>'Detailed cash flow projection'!G64</f>
        <v>10512500</v>
      </c>
      <c r="H35" s="129">
        <f>'Detailed cash flow projection'!H64</f>
        <v>145000</v>
      </c>
      <c r="I35" s="134">
        <f>'Detailed cash flow projection'!I64</f>
        <v>72500</v>
      </c>
      <c r="J35" s="34">
        <f>'Detailed cash flow projection'!J64</f>
        <v>10512500</v>
      </c>
      <c r="K35" s="129">
        <f>'Detailed cash flow projection'!K64</f>
        <v>145000</v>
      </c>
      <c r="L35" s="134">
        <f>'Detailed cash flow projection'!L64</f>
        <v>72500</v>
      </c>
      <c r="M35" s="34">
        <f>'Detailed cash flow projection'!M64</f>
        <v>10512500</v>
      </c>
      <c r="N35" s="129">
        <f>'Detailed cash flow projection'!N64</f>
        <v>145000</v>
      </c>
      <c r="O35" s="134">
        <f>'Detailed cash flow projection'!O64</f>
        <v>72500</v>
      </c>
      <c r="P35" s="34">
        <f>'Detailed cash flow projection'!P64</f>
        <v>10512500</v>
      </c>
      <c r="Q35" s="129">
        <f>'Detailed cash flow projection'!Q64</f>
        <v>145000</v>
      </c>
      <c r="R35" s="134">
        <f>'Detailed cash flow projection'!R64</f>
        <v>72500</v>
      </c>
      <c r="S35" s="34">
        <f>'Detailed cash flow projection'!S64</f>
        <v>52562500</v>
      </c>
      <c r="T35" s="129">
        <f>'Detailed cash flow projection'!T64</f>
        <v>136415.96551724127</v>
      </c>
      <c r="U35" s="24"/>
    </row>
    <row r="36" spans="1:21">
      <c r="A36" s="138"/>
      <c r="B36" s="97"/>
      <c r="C36" s="128"/>
      <c r="D36" s="34"/>
      <c r="E36" s="129"/>
      <c r="F36" s="134"/>
      <c r="G36" s="34"/>
      <c r="H36" s="129"/>
      <c r="I36" s="134"/>
      <c r="J36" s="34"/>
      <c r="K36" s="129"/>
      <c r="L36" s="134"/>
      <c r="M36" s="34"/>
      <c r="N36" s="129"/>
      <c r="O36" s="134"/>
      <c r="P36" s="34"/>
      <c r="Q36" s="129"/>
      <c r="R36" s="134"/>
      <c r="S36" s="34"/>
      <c r="T36" s="129"/>
      <c r="U36" s="24"/>
    </row>
    <row r="37" spans="1:21">
      <c r="A37" s="138" t="s">
        <v>94</v>
      </c>
      <c r="B37" s="20" t="s">
        <v>95</v>
      </c>
      <c r="C37" s="128">
        <f>'Detailed cash flow projection'!C66</f>
        <v>87656</v>
      </c>
      <c r="D37" s="128">
        <f>'Detailed cash flow projection'!D66</f>
        <v>9931000</v>
      </c>
      <c r="E37" s="128">
        <f>'Detailed cash flow projection'!E66</f>
        <v>156145.6551724138</v>
      </c>
      <c r="F37" s="128">
        <f>'Detailed cash flow projection'!F66</f>
        <v>71521</v>
      </c>
      <c r="G37" s="128">
        <f>'Detailed cash flow projection'!G66</f>
        <v>10131491</v>
      </c>
      <c r="H37" s="128">
        <f>'Detailed cash flow projection'!H66</f>
        <v>141393.35172413793</v>
      </c>
      <c r="I37" s="128">
        <f>'Detailed cash flow projection'!I66</f>
        <v>72521</v>
      </c>
      <c r="J37" s="128">
        <f>'Detailed cash flow projection'!J66</f>
        <v>10660984</v>
      </c>
      <c r="K37" s="128">
        <f>'Detailed cash flow projection'!K66</f>
        <v>146045.02758620691</v>
      </c>
      <c r="L37" s="128">
        <f>'Detailed cash flow projection'!L66</f>
        <v>72500</v>
      </c>
      <c r="M37" s="128">
        <f>'Detailed cash flow projection'!M66</f>
        <v>10512500</v>
      </c>
      <c r="N37" s="128">
        <f>'Detailed cash flow projection'!N66</f>
        <v>145000</v>
      </c>
      <c r="O37" s="128">
        <f>'Detailed cash flow projection'!O66</f>
        <v>72500</v>
      </c>
      <c r="P37" s="128">
        <f>'Detailed cash flow projection'!P66</f>
        <v>10512500</v>
      </c>
      <c r="Q37" s="128">
        <f>'Detailed cash flow projection'!Q66</f>
        <v>145000</v>
      </c>
      <c r="R37" s="128">
        <f>'Detailed cash flow projection'!R66</f>
        <v>72500</v>
      </c>
      <c r="S37" s="128">
        <f>'Detailed cash flow projection'!S66</f>
        <v>10512500</v>
      </c>
      <c r="T37" s="128">
        <f>'Detailed cash flow projection'!T66</f>
        <v>145000</v>
      </c>
      <c r="U37" s="24"/>
    </row>
    <row r="38" spans="1:21">
      <c r="A38" s="31"/>
      <c r="B38" s="96"/>
      <c r="C38" s="128"/>
      <c r="D38" s="34"/>
      <c r="E38" s="129"/>
      <c r="F38" s="134"/>
      <c r="G38" s="34"/>
      <c r="H38" s="129"/>
      <c r="I38" s="134"/>
      <c r="J38" s="34"/>
      <c r="K38" s="129"/>
      <c r="L38" s="134"/>
      <c r="M38" s="34"/>
      <c r="N38" s="129"/>
      <c r="O38" s="134"/>
      <c r="P38" s="34"/>
      <c r="Q38" s="129"/>
      <c r="R38" s="134"/>
      <c r="S38" s="34"/>
      <c r="T38" s="129"/>
      <c r="U38" s="24"/>
    </row>
    <row r="39" spans="1:21" s="2" customFormat="1">
      <c r="A39" s="32" t="s">
        <v>96</v>
      </c>
      <c r="B39" s="97" t="str">
        <f>'Detailed cash flow projection'!B68</f>
        <v>Actual ZBA Drawing / Direct Replenishment</v>
      </c>
      <c r="C39" s="86">
        <f>'Detailed cash flow projection'!C68</f>
        <v>500000</v>
      </c>
      <c r="D39" s="239"/>
      <c r="E39" s="84">
        <f>'Detailed cash flow projection'!E68</f>
        <v>500000</v>
      </c>
      <c r="F39" s="86">
        <f>'Detailed cash flow projection'!F68</f>
        <v>130000</v>
      </c>
      <c r="G39" s="239"/>
      <c r="H39" s="84">
        <f>'Detailed cash flow projection'!H68</f>
        <v>130000</v>
      </c>
      <c r="I39" s="86">
        <f>'Detailed cash flow projection'!I68</f>
        <v>100000</v>
      </c>
      <c r="J39" s="239"/>
      <c r="K39" s="84">
        <f>'Detailed cash flow projection'!K68</f>
        <v>100000</v>
      </c>
      <c r="L39" s="86">
        <f>'Detailed cash flow projection'!L68</f>
        <v>0</v>
      </c>
      <c r="M39" s="239"/>
      <c r="N39" s="84">
        <f>'Detailed cash flow projection'!N68</f>
        <v>0</v>
      </c>
      <c r="O39" s="86">
        <f>'Detailed cash flow projection'!O68</f>
        <v>400000</v>
      </c>
      <c r="P39" s="239"/>
      <c r="Q39" s="84">
        <f>'Detailed cash flow projection'!Q68</f>
        <v>400000</v>
      </c>
      <c r="R39" s="86">
        <f>'Detailed cash flow projection'!R68</f>
        <v>1130000</v>
      </c>
      <c r="S39" s="239"/>
      <c r="T39" s="84">
        <f>'Detailed cash flow projection'!T68</f>
        <v>1130000</v>
      </c>
      <c r="U39" s="36"/>
    </row>
    <row r="40" spans="1:21" s="2" customFormat="1">
      <c r="A40" s="32" t="s">
        <v>98</v>
      </c>
      <c r="B40" s="97" t="s">
        <v>151</v>
      </c>
      <c r="C40" s="110"/>
      <c r="D40" s="1">
        <f>'Detailed cash flow projection'!D69</f>
        <v>15000000</v>
      </c>
      <c r="E40" s="185"/>
      <c r="F40" s="110"/>
      <c r="G40" s="1">
        <f>'Detailed cash flow projection'!G69</f>
        <v>4000000</v>
      </c>
      <c r="H40" s="185"/>
      <c r="I40" s="110"/>
      <c r="J40" s="1">
        <f>'Detailed cash flow projection'!J69</f>
        <v>2500000</v>
      </c>
      <c r="K40" s="185"/>
      <c r="L40" s="110"/>
      <c r="M40" s="1">
        <f>'Detailed cash flow projection'!M69</f>
        <v>0</v>
      </c>
      <c r="N40" s="185"/>
      <c r="O40" s="110"/>
      <c r="P40" s="1">
        <f>'Detailed cash flow projection'!P69</f>
        <v>9000000</v>
      </c>
      <c r="Q40" s="185"/>
      <c r="R40" s="110"/>
      <c r="S40" s="1">
        <f>'Detailed cash flow projection'!S69</f>
        <v>30500000</v>
      </c>
      <c r="T40" s="186"/>
      <c r="U40" s="36"/>
    </row>
    <row r="41" spans="1:21" s="2" customFormat="1" ht="14.25" customHeight="1">
      <c r="A41" s="32" t="s">
        <v>100</v>
      </c>
      <c r="B41" s="97" t="str">
        <f>'Detailed cash flow projection'!B70</f>
        <v>Accumulative ZBA Drawing</v>
      </c>
      <c r="C41" s="111"/>
      <c r="D41" s="239"/>
      <c r="E41" s="84">
        <f>'Detailed cash flow projection'!E70</f>
        <v>500000</v>
      </c>
      <c r="F41" s="111"/>
      <c r="G41" s="239"/>
      <c r="H41" s="84">
        <f>'Detailed cash flow projection'!H70</f>
        <v>630000</v>
      </c>
      <c r="I41" s="111"/>
      <c r="J41" s="239"/>
      <c r="K41" s="84">
        <f>'Detailed cash flow projection'!K70</f>
        <v>730000</v>
      </c>
      <c r="L41" s="111"/>
      <c r="M41" s="239"/>
      <c r="N41" s="84">
        <f>'Detailed cash flow projection'!N70</f>
        <v>730000</v>
      </c>
      <c r="O41" s="111"/>
      <c r="P41" s="239"/>
      <c r="Q41" s="84">
        <f>'Detailed cash flow projection'!Q70</f>
        <v>1130000</v>
      </c>
      <c r="R41" s="111"/>
      <c r="S41" s="239"/>
      <c r="T41" s="196"/>
      <c r="U41" s="27"/>
    </row>
    <row r="42" spans="1:21" s="37" customFormat="1" ht="13.5" thickBot="1">
      <c r="A42" s="35" t="s">
        <v>102</v>
      </c>
      <c r="B42" s="115" t="str">
        <f>'Detailed cash flow projection'!B71</f>
        <v>Accum Amt Exceeding Imprest/Need Approval</v>
      </c>
      <c r="C42" s="112"/>
      <c r="D42" s="113"/>
      <c r="E42" s="106" t="str">
        <f>'Detailed cash flow projection'!E71</f>
        <v>N/A</v>
      </c>
      <c r="F42" s="112"/>
      <c r="G42" s="113"/>
      <c r="H42" s="106" t="str">
        <f>'Detailed cash flow projection'!H71</f>
        <v>N/A</v>
      </c>
      <c r="I42" s="112"/>
      <c r="J42" s="113"/>
      <c r="K42" s="106">
        <f>'Detailed cash flow projection'!K71</f>
        <v>5000</v>
      </c>
      <c r="L42" s="112"/>
      <c r="M42" s="113"/>
      <c r="N42" s="106">
        <f>'Detailed cash flow projection'!N71</f>
        <v>5000</v>
      </c>
      <c r="O42" s="112"/>
      <c r="P42" s="113"/>
      <c r="Q42" s="106">
        <f>'Detailed cash flow projection'!Q71</f>
        <v>405000</v>
      </c>
      <c r="R42" s="112"/>
      <c r="S42" s="113"/>
      <c r="T42" s="106">
        <f>'Detailed cash flow projection'!T71</f>
        <v>405000</v>
      </c>
      <c r="U42" s="27"/>
    </row>
    <row r="43" spans="1:21">
      <c r="C43" s="1"/>
      <c r="D43" s="1"/>
      <c r="E43" s="1"/>
      <c r="F43" s="1"/>
      <c r="G43" s="1"/>
      <c r="H43" s="1"/>
      <c r="I43" s="1"/>
      <c r="J43" s="1"/>
      <c r="K43" s="1"/>
      <c r="L43" s="1"/>
      <c r="M43" s="1"/>
      <c r="N43" s="1"/>
      <c r="O43" s="1"/>
      <c r="P43" s="1"/>
      <c r="Q43" s="1"/>
    </row>
    <row r="44" spans="1:21">
      <c r="A44" s="2" t="s">
        <v>30</v>
      </c>
      <c r="B44" t="s">
        <v>152</v>
      </c>
      <c r="C44" s="1"/>
      <c r="D44" s="1"/>
      <c r="E44" s="1"/>
      <c r="F44" s="1"/>
      <c r="G44" s="1"/>
      <c r="H44" s="1"/>
      <c r="I44" s="1"/>
      <c r="J44" s="1"/>
      <c r="K44" s="1"/>
      <c r="L44" s="1"/>
      <c r="M44" s="1"/>
      <c r="N44" s="1"/>
      <c r="O44" s="1"/>
      <c r="P44" s="1"/>
      <c r="Q44" s="1"/>
    </row>
    <row r="45" spans="1:21">
      <c r="A45" s="2" t="s">
        <v>42</v>
      </c>
      <c r="B45" s="48" t="s">
        <v>153</v>
      </c>
    </row>
    <row r="46" spans="1:21">
      <c r="A46" s="2" t="s">
        <v>45</v>
      </c>
      <c r="B46" t="s">
        <v>117</v>
      </c>
    </row>
    <row r="47" spans="1:21">
      <c r="A47" s="2" t="s">
        <v>48</v>
      </c>
      <c r="B47" t="s">
        <v>118</v>
      </c>
    </row>
    <row r="48" spans="1:21">
      <c r="A48" s="2" t="s">
        <v>51</v>
      </c>
      <c r="B48" s="8" t="s">
        <v>119</v>
      </c>
    </row>
    <row r="49" spans="1:2">
      <c r="A49" s="2" t="s">
        <v>58</v>
      </c>
      <c r="B49" t="s">
        <v>120</v>
      </c>
    </row>
    <row r="50" spans="1:2">
      <c r="A50" s="2" t="s">
        <v>60</v>
      </c>
      <c r="B50" t="s">
        <v>154</v>
      </c>
    </row>
    <row r="51" spans="1:2">
      <c r="A51" s="2"/>
      <c r="B51" t="s">
        <v>155</v>
      </c>
    </row>
    <row r="52" spans="1:2">
      <c r="A52" s="2" t="s">
        <v>75</v>
      </c>
      <c r="B52" t="s">
        <v>122</v>
      </c>
    </row>
    <row r="53" spans="1:2">
      <c r="A53" s="2" t="s">
        <v>80</v>
      </c>
      <c r="B53" t="s">
        <v>123</v>
      </c>
    </row>
    <row r="54" spans="1:2">
      <c r="A54" s="2" t="s">
        <v>82</v>
      </c>
      <c r="B54" t="s">
        <v>124</v>
      </c>
    </row>
    <row r="55" spans="1:2">
      <c r="A55" s="2" t="s">
        <v>84</v>
      </c>
      <c r="B55" t="s">
        <v>125</v>
      </c>
    </row>
    <row r="56" spans="1:2">
      <c r="A56" s="2" t="s">
        <v>86</v>
      </c>
      <c r="B56" s="48" t="s">
        <v>156</v>
      </c>
    </row>
    <row r="57" spans="1:2">
      <c r="A57" s="2" t="s">
        <v>88</v>
      </c>
      <c r="B57" s="48" t="s">
        <v>157</v>
      </c>
    </row>
    <row r="58" spans="1:2">
      <c r="A58" s="2" t="s">
        <v>90</v>
      </c>
      <c r="B58" s="48" t="s">
        <v>158</v>
      </c>
    </row>
    <row r="59" spans="1:2">
      <c r="A59" s="2" t="s">
        <v>92</v>
      </c>
      <c r="B59" s="48" t="s">
        <v>159</v>
      </c>
    </row>
    <row r="60" spans="1:2">
      <c r="A60" s="2" t="s">
        <v>94</v>
      </c>
      <c r="B60" s="48" t="s">
        <v>160</v>
      </c>
    </row>
    <row r="61" spans="1:2">
      <c r="A61" s="2" t="s">
        <v>96</v>
      </c>
      <c r="B61" s="48" t="s">
        <v>161</v>
      </c>
    </row>
    <row r="62" spans="1:2">
      <c r="A62" s="2" t="s">
        <v>98</v>
      </c>
      <c r="B62" s="48" t="s">
        <v>162</v>
      </c>
    </row>
    <row r="63" spans="1:2">
      <c r="A63" s="2" t="s">
        <v>100</v>
      </c>
      <c r="B63" s="48" t="s">
        <v>163</v>
      </c>
    </row>
    <row r="64" spans="1:2">
      <c r="A64" s="2" t="s">
        <v>102</v>
      </c>
      <c r="B64" s="48" t="s">
        <v>164</v>
      </c>
    </row>
    <row r="65" spans="1:1">
      <c r="A65" s="2"/>
    </row>
    <row r="66" spans="1:1">
      <c r="A66" s="2"/>
    </row>
  </sheetData>
  <mergeCells count="13">
    <mergeCell ref="A12:B13"/>
    <mergeCell ref="A1:T1"/>
    <mergeCell ref="A3:B3"/>
    <mergeCell ref="A5:B5"/>
    <mergeCell ref="A6:B6"/>
    <mergeCell ref="A9:B9"/>
    <mergeCell ref="A7:B7"/>
    <mergeCell ref="C12:E12"/>
    <mergeCell ref="F12:H12"/>
    <mergeCell ref="I12:K12"/>
    <mergeCell ref="L12:N12"/>
    <mergeCell ref="O12:Q12"/>
    <mergeCell ref="R12:T12"/>
  </mergeCells>
  <phoneticPr fontId="0" type="noConversion"/>
  <pageMargins left="0.2" right="0.22" top="0.44" bottom="0.2" header="0.42" footer="0.26"/>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7999-C04B-42CF-A583-482F957BEB35}">
  <sheetPr>
    <pageSetUpPr fitToPage="1"/>
  </sheetPr>
  <dimension ref="A1:J42"/>
  <sheetViews>
    <sheetView workbookViewId="0">
      <selection activeCell="A3" sqref="A3"/>
    </sheetView>
  </sheetViews>
  <sheetFormatPr defaultColWidth="9.140625" defaultRowHeight="12.75"/>
  <cols>
    <col min="1" max="1" width="5.28515625" style="160" customWidth="1"/>
    <col min="2" max="2" width="9.140625" style="158" customWidth="1"/>
    <col min="3" max="3" width="9.140625" style="157"/>
    <col min="4" max="4" width="10.28515625" style="157" customWidth="1"/>
    <col min="5" max="5" width="11" style="159" customWidth="1"/>
    <col min="6" max="6" width="9.140625" style="159" customWidth="1"/>
    <col min="7" max="7" width="11.85546875" style="159" customWidth="1"/>
    <col min="8" max="8" width="11.28515625" style="159" bestFit="1" customWidth="1"/>
    <col min="9" max="9" width="12.5703125" style="159" customWidth="1"/>
    <col min="10" max="10" width="12.85546875" style="158" customWidth="1"/>
    <col min="11" max="16384" width="9.140625" style="157"/>
  </cols>
  <sheetData>
    <row r="1" spans="1:10">
      <c r="A1" s="233" t="s">
        <v>165</v>
      </c>
      <c r="B1" s="233"/>
      <c r="C1" s="233"/>
      <c r="D1" s="233"/>
      <c r="E1" s="233"/>
      <c r="F1" s="233"/>
      <c r="G1" s="233"/>
      <c r="H1" s="233"/>
      <c r="I1" s="233"/>
      <c r="J1" s="233"/>
    </row>
    <row r="2" spans="1:10">
      <c r="A2" s="233" t="s">
        <v>166</v>
      </c>
      <c r="B2" s="233"/>
      <c r="C2" s="233"/>
      <c r="D2" s="233"/>
      <c r="E2" s="233"/>
      <c r="F2" s="233"/>
      <c r="G2" s="233"/>
      <c r="H2" s="233"/>
      <c r="I2" s="233"/>
      <c r="J2" s="233"/>
    </row>
    <row r="3" spans="1:10">
      <c r="A3" s="165"/>
    </row>
    <row r="4" spans="1:10">
      <c r="A4" s="167"/>
      <c r="B4" s="164" t="s">
        <v>167</v>
      </c>
      <c r="C4" s="161"/>
      <c r="D4" s="159" t="s">
        <v>168</v>
      </c>
      <c r="E4" s="158">
        <v>145</v>
      </c>
    </row>
    <row r="5" spans="1:10" ht="15.75">
      <c r="A5" s="165"/>
      <c r="B5" s="182"/>
      <c r="C5" s="183"/>
      <c r="D5" s="183"/>
      <c r="E5" s="184"/>
      <c r="F5" s="184"/>
      <c r="G5" s="184"/>
      <c r="H5" s="184"/>
    </row>
    <row r="6" spans="1:10">
      <c r="C6" s="161"/>
      <c r="D6" s="161"/>
      <c r="E6" s="181"/>
      <c r="F6" s="181" t="s">
        <v>169</v>
      </c>
      <c r="G6" s="181" t="s">
        <v>169</v>
      </c>
      <c r="H6" s="181" t="s">
        <v>170</v>
      </c>
      <c r="I6" s="181" t="s">
        <v>171</v>
      </c>
      <c r="J6" s="162" t="s">
        <v>172</v>
      </c>
    </row>
    <row r="7" spans="1:10">
      <c r="A7" s="165"/>
      <c r="E7" s="180" t="s">
        <v>173</v>
      </c>
      <c r="F7" s="180" t="s">
        <v>170</v>
      </c>
      <c r="G7" s="180" t="s">
        <v>27</v>
      </c>
      <c r="H7" s="180" t="s">
        <v>174</v>
      </c>
      <c r="I7" s="180" t="s">
        <v>174</v>
      </c>
      <c r="J7" s="179" t="s">
        <v>175</v>
      </c>
    </row>
    <row r="8" spans="1:10">
      <c r="A8" s="165"/>
      <c r="J8" s="160"/>
    </row>
    <row r="9" spans="1:10">
      <c r="A9" s="167"/>
      <c r="B9" s="164" t="s">
        <v>176</v>
      </c>
      <c r="J9" s="160"/>
    </row>
    <row r="10" spans="1:10">
      <c r="A10" s="165"/>
      <c r="B10" s="158" t="s">
        <v>177</v>
      </c>
      <c r="D10" s="178"/>
      <c r="E10" s="170">
        <v>75000</v>
      </c>
      <c r="F10" s="163">
        <v>0.3</v>
      </c>
      <c r="G10" s="163">
        <v>0.7</v>
      </c>
      <c r="H10" s="168">
        <f t="shared" ref="H10:H15" si="0">E10*F10</f>
        <v>22500</v>
      </c>
      <c r="I10" s="168">
        <f t="shared" ref="I10:I15" si="1">E10*G10*$E$4</f>
        <v>7612500</v>
      </c>
      <c r="J10" s="160" t="s">
        <v>178</v>
      </c>
    </row>
    <row r="11" spans="1:10">
      <c r="B11" s="158" t="s">
        <v>179</v>
      </c>
      <c r="D11" s="178"/>
      <c r="E11" s="170">
        <v>25000</v>
      </c>
      <c r="F11" s="163">
        <v>0</v>
      </c>
      <c r="G11" s="163">
        <v>1</v>
      </c>
      <c r="H11" s="168">
        <f t="shared" si="0"/>
        <v>0</v>
      </c>
      <c r="I11" s="168">
        <f t="shared" si="1"/>
        <v>3625000</v>
      </c>
      <c r="J11" s="160" t="s">
        <v>44</v>
      </c>
    </row>
    <row r="12" spans="1:10">
      <c r="B12" s="158" t="s">
        <v>180</v>
      </c>
      <c r="D12" s="178"/>
      <c r="E12" s="170">
        <v>11250</v>
      </c>
      <c r="F12" s="163">
        <v>0</v>
      </c>
      <c r="G12" s="163">
        <v>1</v>
      </c>
      <c r="H12" s="168">
        <f t="shared" si="0"/>
        <v>0</v>
      </c>
      <c r="I12" s="168">
        <f t="shared" si="1"/>
        <v>1631250</v>
      </c>
      <c r="J12" s="160" t="s">
        <v>18</v>
      </c>
    </row>
    <row r="13" spans="1:10">
      <c r="B13" s="158" t="s">
        <v>181</v>
      </c>
      <c r="D13" s="178"/>
      <c r="E13" s="170">
        <v>7500</v>
      </c>
      <c r="F13" s="163">
        <v>0.2</v>
      </c>
      <c r="G13" s="163">
        <v>0.8</v>
      </c>
      <c r="H13" s="168">
        <f t="shared" si="0"/>
        <v>1500</v>
      </c>
      <c r="I13" s="168">
        <f t="shared" si="1"/>
        <v>870000</v>
      </c>
      <c r="J13" s="160" t="s">
        <v>19</v>
      </c>
    </row>
    <row r="14" spans="1:10">
      <c r="B14" s="158" t="s">
        <v>182</v>
      </c>
      <c r="D14" s="178"/>
      <c r="E14" s="170">
        <v>18750</v>
      </c>
      <c r="F14" s="163">
        <v>0.1</v>
      </c>
      <c r="G14" s="163">
        <v>0.9</v>
      </c>
      <c r="H14" s="168">
        <f t="shared" si="0"/>
        <v>1875</v>
      </c>
      <c r="I14" s="168">
        <f t="shared" si="1"/>
        <v>2446875</v>
      </c>
      <c r="J14" s="160" t="s">
        <v>47</v>
      </c>
    </row>
    <row r="15" spans="1:10">
      <c r="B15" s="158" t="s">
        <v>183</v>
      </c>
      <c r="D15" s="178"/>
      <c r="E15" s="170">
        <v>12500</v>
      </c>
      <c r="F15" s="163">
        <v>0.4</v>
      </c>
      <c r="G15" s="163">
        <v>0.6</v>
      </c>
      <c r="H15" s="168">
        <f t="shared" si="0"/>
        <v>5000</v>
      </c>
      <c r="I15" s="168">
        <f t="shared" si="1"/>
        <v>1087500</v>
      </c>
      <c r="J15" s="160" t="s">
        <v>73</v>
      </c>
    </row>
    <row r="16" spans="1:10">
      <c r="B16" s="176" t="s">
        <v>184</v>
      </c>
      <c r="C16" s="175"/>
      <c r="D16" s="177"/>
      <c r="E16" s="173">
        <f>SUM(E10:E15)</f>
        <v>150000</v>
      </c>
      <c r="F16" s="173"/>
      <c r="G16" s="173"/>
      <c r="H16" s="173">
        <f>SUM(H10:H15)</f>
        <v>30875</v>
      </c>
      <c r="I16" s="173">
        <f>SUM(I10:I15)</f>
        <v>17273125</v>
      </c>
      <c r="J16" s="160"/>
    </row>
    <row r="17" spans="1:10">
      <c r="E17" s="170"/>
      <c r="F17" s="163"/>
      <c r="G17" s="163"/>
      <c r="H17" s="168"/>
      <c r="I17" s="168"/>
      <c r="J17" s="160"/>
    </row>
    <row r="18" spans="1:10">
      <c r="A18" s="167"/>
      <c r="B18" s="164" t="s">
        <v>185</v>
      </c>
      <c r="C18" s="161"/>
      <c r="E18" s="170"/>
      <c r="F18" s="163"/>
      <c r="G18" s="163"/>
      <c r="H18" s="168"/>
      <c r="I18" s="168"/>
      <c r="J18" s="160"/>
    </row>
    <row r="19" spans="1:10">
      <c r="B19" s="158" t="s">
        <v>77</v>
      </c>
      <c r="E19" s="170">
        <v>18750</v>
      </c>
      <c r="F19" s="163">
        <v>1</v>
      </c>
      <c r="G19" s="163">
        <v>0</v>
      </c>
      <c r="H19" s="168">
        <f>E19*F19</f>
        <v>18750</v>
      </c>
      <c r="I19" s="168">
        <f>E19*G19*$E$4</f>
        <v>0</v>
      </c>
      <c r="J19" s="160" t="s">
        <v>57</v>
      </c>
    </row>
    <row r="20" spans="1:10">
      <c r="B20" s="158" t="s">
        <v>186</v>
      </c>
      <c r="E20" s="170">
        <v>50000</v>
      </c>
      <c r="F20" s="163">
        <v>0.2</v>
      </c>
      <c r="G20" s="163">
        <v>0.8</v>
      </c>
      <c r="H20" s="168">
        <f>E20*F20</f>
        <v>10000</v>
      </c>
      <c r="I20" s="168">
        <f>E20*G20*$E$4</f>
        <v>5800000</v>
      </c>
      <c r="J20" s="160" t="s">
        <v>47</v>
      </c>
    </row>
    <row r="21" spans="1:10">
      <c r="B21" s="176" t="s">
        <v>184</v>
      </c>
      <c r="C21" s="175"/>
      <c r="D21" s="175"/>
      <c r="E21" s="173">
        <f>SUM(E19:E20)</f>
        <v>68750</v>
      </c>
      <c r="F21" s="173"/>
      <c r="G21" s="173"/>
      <c r="H21" s="173">
        <f>SUM(H19:H20)</f>
        <v>28750</v>
      </c>
      <c r="I21" s="173">
        <f>SUM(I19:I20)</f>
        <v>5800000</v>
      </c>
      <c r="J21" s="160"/>
    </row>
    <row r="22" spans="1:10">
      <c r="E22" s="170"/>
      <c r="F22" s="163"/>
      <c r="G22" s="163"/>
      <c r="H22" s="168"/>
      <c r="I22" s="168"/>
      <c r="J22" s="160"/>
    </row>
    <row r="23" spans="1:10">
      <c r="A23" s="167"/>
      <c r="B23" s="164" t="s">
        <v>187</v>
      </c>
      <c r="C23" s="161"/>
      <c r="D23" s="161"/>
      <c r="E23" s="170">
        <v>93750</v>
      </c>
      <c r="F23" s="163">
        <v>0.8</v>
      </c>
      <c r="G23" s="163">
        <v>0.2</v>
      </c>
      <c r="H23" s="168">
        <f>E23*F23</f>
        <v>75000</v>
      </c>
      <c r="I23" s="168">
        <f>E23*G23*$E$4</f>
        <v>2718750</v>
      </c>
      <c r="J23" s="160" t="s">
        <v>47</v>
      </c>
    </row>
    <row r="24" spans="1:10">
      <c r="E24" s="170"/>
      <c r="F24" s="163"/>
      <c r="G24" s="163"/>
      <c r="H24" s="168"/>
      <c r="I24" s="168"/>
      <c r="J24" s="160"/>
    </row>
    <row r="25" spans="1:10">
      <c r="A25" s="167"/>
      <c r="B25" s="164" t="s">
        <v>188</v>
      </c>
      <c r="C25" s="161"/>
      <c r="D25" s="161"/>
      <c r="E25" s="170"/>
      <c r="F25" s="163"/>
      <c r="G25" s="163"/>
      <c r="H25" s="168"/>
      <c r="I25" s="168"/>
      <c r="J25" s="160"/>
    </row>
    <row r="26" spans="1:10">
      <c r="B26" s="158" t="s">
        <v>53</v>
      </c>
      <c r="E26" s="170">
        <v>180000</v>
      </c>
      <c r="F26" s="163">
        <v>0.8</v>
      </c>
      <c r="G26" s="163">
        <v>0.2</v>
      </c>
      <c r="H26" s="168">
        <f>E26*F26</f>
        <v>144000</v>
      </c>
      <c r="I26" s="168">
        <f>E26*G26*$E$4</f>
        <v>5220000</v>
      </c>
      <c r="J26" s="160" t="s">
        <v>189</v>
      </c>
    </row>
    <row r="27" spans="1:10">
      <c r="B27" s="158" t="s">
        <v>55</v>
      </c>
      <c r="E27" s="170">
        <v>120000</v>
      </c>
      <c r="F27" s="163">
        <v>1</v>
      </c>
      <c r="G27" s="163"/>
      <c r="H27" s="168">
        <f>E27*F27</f>
        <v>120000</v>
      </c>
      <c r="I27" s="168">
        <f>E27*G27*$E$4</f>
        <v>0</v>
      </c>
      <c r="J27" s="160" t="s">
        <v>189</v>
      </c>
    </row>
    <row r="28" spans="1:10">
      <c r="B28" s="158" t="s">
        <v>38</v>
      </c>
      <c r="E28" s="170">
        <v>200000</v>
      </c>
      <c r="F28" s="163">
        <v>0.5</v>
      </c>
      <c r="G28" s="163">
        <v>0.5</v>
      </c>
      <c r="H28" s="168">
        <f>E28*F28</f>
        <v>100000</v>
      </c>
      <c r="I28" s="168">
        <f>E28*G28*$E$4</f>
        <v>14500000</v>
      </c>
      <c r="J28" s="160" t="s">
        <v>189</v>
      </c>
    </row>
    <row r="29" spans="1:10">
      <c r="B29" s="158" t="s">
        <v>56</v>
      </c>
      <c r="E29" s="170">
        <v>150000</v>
      </c>
      <c r="F29" s="163">
        <v>1</v>
      </c>
      <c r="G29" s="163"/>
      <c r="H29" s="168">
        <f>E29*F29</f>
        <v>150000</v>
      </c>
      <c r="I29" s="168">
        <f>E29*G29*$I$4</f>
        <v>0</v>
      </c>
      <c r="J29" s="160" t="s">
        <v>57</v>
      </c>
    </row>
    <row r="30" spans="1:10">
      <c r="B30" s="176" t="s">
        <v>184</v>
      </c>
      <c r="C30" s="175"/>
      <c r="D30" s="175"/>
      <c r="E30" s="173">
        <f>SUM(E26:E29)</f>
        <v>650000</v>
      </c>
      <c r="F30" s="174"/>
      <c r="G30" s="174"/>
      <c r="H30" s="173">
        <f>SUM(H26:H29)</f>
        <v>514000</v>
      </c>
      <c r="I30" s="173">
        <f>SUM(I26:I29)</f>
        <v>19720000</v>
      </c>
      <c r="J30" s="160"/>
    </row>
    <row r="31" spans="1:10">
      <c r="E31" s="170"/>
      <c r="F31" s="166"/>
      <c r="G31" s="163"/>
      <c r="H31" s="168"/>
      <c r="I31" s="168"/>
      <c r="J31" s="160"/>
    </row>
    <row r="32" spans="1:10" ht="13.5" thickBot="1">
      <c r="B32" s="164" t="s">
        <v>190</v>
      </c>
      <c r="E32" s="171">
        <f>E16+E21+E23+E30</f>
        <v>962500</v>
      </c>
      <c r="F32" s="172"/>
      <c r="G32" s="172"/>
      <c r="H32" s="171">
        <f>H16+H21+H23+H30</f>
        <v>648625</v>
      </c>
      <c r="I32" s="171">
        <f>I16+I21+I23+I30</f>
        <v>45511875</v>
      </c>
      <c r="J32" s="160"/>
    </row>
    <row r="33" spans="1:10" ht="13.5" thickTop="1">
      <c r="E33" s="170"/>
      <c r="F33" s="166"/>
      <c r="G33" s="163"/>
      <c r="H33" s="168"/>
      <c r="I33" s="168"/>
      <c r="J33" s="160"/>
    </row>
    <row r="34" spans="1:10">
      <c r="A34" s="167"/>
      <c r="B34" s="164" t="s">
        <v>191</v>
      </c>
      <c r="C34" s="161"/>
      <c r="E34" s="170">
        <v>15000</v>
      </c>
      <c r="F34" s="163">
        <v>0.7</v>
      </c>
      <c r="G34" s="169">
        <v>0.3</v>
      </c>
      <c r="H34" s="168">
        <f>E34*F34</f>
        <v>10500</v>
      </c>
      <c r="I34" s="168">
        <f>E34*G34*E4</f>
        <v>652500</v>
      </c>
      <c r="J34" s="160" t="s">
        <v>47</v>
      </c>
    </row>
    <row r="35" spans="1:10">
      <c r="E35" s="166"/>
      <c r="F35" s="166"/>
      <c r="G35" s="163"/>
      <c r="H35" s="168"/>
      <c r="I35" s="168"/>
      <c r="J35" s="160"/>
    </row>
    <row r="36" spans="1:10">
      <c r="A36" s="167"/>
      <c r="B36" s="164" t="s">
        <v>192</v>
      </c>
      <c r="C36" s="161"/>
      <c r="E36" s="163"/>
      <c r="F36" s="163"/>
      <c r="H36" s="168"/>
      <c r="I36" s="168"/>
      <c r="J36" s="160"/>
    </row>
    <row r="37" spans="1:10">
      <c r="B37" s="158" t="s">
        <v>193</v>
      </c>
      <c r="E37" s="163"/>
      <c r="F37" s="163">
        <v>0.3</v>
      </c>
      <c r="G37" s="159" t="s">
        <v>194</v>
      </c>
      <c r="H37" s="168">
        <f>SUM(E11:E15)*F37</f>
        <v>22500</v>
      </c>
      <c r="I37" s="168">
        <v>0</v>
      </c>
      <c r="J37" s="160" t="s">
        <v>44</v>
      </c>
    </row>
    <row r="38" spans="1:10">
      <c r="E38" s="163"/>
      <c r="F38" s="163"/>
      <c r="H38" s="168"/>
      <c r="I38" s="168"/>
      <c r="J38" s="160"/>
    </row>
    <row r="40" spans="1:10">
      <c r="B40" s="164" t="s">
        <v>195</v>
      </c>
    </row>
    <row r="41" spans="1:10">
      <c r="B41" s="158" t="s">
        <v>196</v>
      </c>
    </row>
    <row r="42" spans="1:10">
      <c r="B42" s="158" t="s">
        <v>197</v>
      </c>
    </row>
  </sheetData>
  <mergeCells count="2">
    <mergeCell ref="A1:J1"/>
    <mergeCell ref="A2:J2"/>
  </mergeCells>
  <pageMargins left="0.75" right="0.75" top="1" bottom="1" header="0.5" footer="0.5"/>
  <pageSetup scale="6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NDP_POPP_BUSINESSPROCESS_HIDDEN xmlns="8264c5cc-ec60-4b56-8111-ce635d3d139a">
      <Terms xmlns="http://schemas.microsoft.com/office/infopath/2007/PartnerControls"/>
    </UNDP_POPP_BUSINESSPROCESS_HIDDEN>
    <UNDP_POPP_NOTE xmlns="8264c5cc-ec60-4b56-8111-ce635d3d139a" xsi:nil="true"/>
    <POPPIsArchived xmlns="e560140e-7b2f-4392-90df-e7567e3021a3">false</POPPIsArchived>
    <_dlc_DocId xmlns="8264c5cc-ec60-4b56-8111-ce635d3d139a">UNDPGBL-552-75</_dlc_DocId>
    <Location xmlns="e560140e-7b2f-4392-90df-e7567e3021a3">Public</Location>
    <UNDP_POPP_DOCUMENT_TYPE xmlns="8264c5cc-ec60-4b56-8111-ce635d3d139a">Template</UNDP_POPP_DOCUMENT_TYPE>
    <UNDP_POPP_DOCUMENT_TEMPLATE xmlns="8264c5cc-ec60-4b56-8111-ce635d3d139a" xsi:nil="true"/>
    <_dlc_DocIdUrl xmlns="8264c5cc-ec60-4b56-8111-ce635d3d139a">
      <Url>https://intranet.undp.org/global/documents/_layouts/DocIdRedir.aspx?ID=UNDPGBL-552-75</Url>
      <Description>UNDPGBL-552-75</Description>
    </_dlc_DocIdUrl>
    <TaxCatchAll xmlns="8264c5cc-ec60-4b56-8111-ce635d3d139a">
      <Value>350</Value>
    </TaxCatchAll>
    <UNDP_POPP_VERSION_COMMENTS xmlns="8264c5cc-ec60-4b56-8111-ce635d3d139a" xsi:nil="true"/>
    <UNDP_POPP_DOCUMENT_LANGUAGE xmlns="8264c5cc-ec60-4b56-8111-ce635d3d139a">English</UNDP_POPP_DOCUMENT_LANGUAGE>
    <UNDP_POPP_FOCALPOINT xmlns="8264c5cc-ec60-4b56-8111-ce635d3d139a">
      <UserInfo>
        <DisplayName/>
        <AccountId xsi:nil="true"/>
        <AccountType/>
      </UserInfo>
    </UNDP_POPP_FOCALPOINT>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UNDP_POPP_PLANNED_REVIEWDATE xmlns="8264c5cc-ec60-4b56-8111-ce635d3d139a" xsi:nil="true"/>
    <UNDP_POPP_LASTMODIFIED xmlns="8264c5cc-ec60-4b56-8111-ce635d3d139a" xsi:nil="true"/>
    <UNDP_POPP_REJECT_COMMENTS xmlns="8264c5cc-ec60-4b56-8111-ce635d3d139a" xsi:nil="true"/>
    <UNDP_POPP_EFFECTIVEDATE xmlns="8264c5cc-ec60-4b56-8111-ce635d3d139a">2023-01-08T23:00:00+00:00</UNDP_POPP_EFFECTIVEDATE>
    <UNDP_POPP_REFITEM_VERSION xmlns="8264c5cc-ec60-4b56-8111-ce635d3d139a">1</UNDP_POPP_REFITEM_VERSION>
    <UNDP_POPP_FILEVERSION xmlns="8264c5cc-ec60-4b56-8111-ce635d3d139a" xsi:nil="true"/>
    <UNDP_POPP_ISACTIVE xmlns="8264c5cc-ec60-4b56-8111-ce635d3d139a">true</UNDP_POPP_ISACTIVE>
    <UNDP_POPP_TITLE_EN xmlns="8264c5cc-ec60-4b56-8111-ce635d3d139a">Country Office Cash Model Worksheet</UNDP_POPP_TITLE_EN>
    <DLCPolicyLabelLock xmlns="e560140e-7b2f-4392-90df-e7567e3021a3" xsi:nil="true"/>
    <DLCPolicyLabelClientValue xmlns="e560140e-7b2f-4392-90df-e7567e3021a3" xsi:nil="true"/>
    <UNDP_POPP_BUSINESSUNITID_HIDDEN xmlns="8264c5cc-ec60-4b56-8111-ce635d3d139a" xsi:nil="true"/>
    <DLCPolicyLabelValue xmlns="e560140e-7b2f-4392-90df-e7567e3021a3">Effective Date: 09/01/2023                                                Version #: 1</DLCPolicyLabelVal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Props1.xml><?xml version="1.0" encoding="utf-8"?>
<ds:datastoreItem xmlns:ds="http://schemas.openxmlformats.org/officeDocument/2006/customXml" ds:itemID="{60325C3D-9527-4D6F-BDD6-8B3820C8C921}"/>
</file>

<file path=customXml/itemProps2.xml><?xml version="1.0" encoding="utf-8"?>
<ds:datastoreItem xmlns:ds="http://schemas.openxmlformats.org/officeDocument/2006/customXml" ds:itemID="{017A8190-D1B9-4ACF-8E66-B413568618EB}"/>
</file>

<file path=customXml/itemProps3.xml><?xml version="1.0" encoding="utf-8"?>
<ds:datastoreItem xmlns:ds="http://schemas.openxmlformats.org/officeDocument/2006/customXml" ds:itemID="{D3F62D0F-BAC9-4514-BC46-A7FDA55FB62D}"/>
</file>

<file path=customXml/itemProps4.xml><?xml version="1.0" encoding="utf-8"?>
<ds:datastoreItem xmlns:ds="http://schemas.openxmlformats.org/officeDocument/2006/customXml" ds:itemID="{DD7DD7A2-6DB8-4242-B391-B93176B33F3B}"/>
</file>

<file path=customXml/itemProps5.xml><?xml version="1.0" encoding="utf-8"?>
<ds:datastoreItem xmlns:ds="http://schemas.openxmlformats.org/officeDocument/2006/customXml" ds:itemID="{D601A9A3-821C-42AA-A5DD-7CCCBAFBD126}"/>
</file>

<file path=customXml/itemProps6.xml><?xml version="1.0" encoding="utf-8"?>
<ds:datastoreItem xmlns:ds="http://schemas.openxmlformats.org/officeDocument/2006/customXml" ds:itemID="{4992A843-A558-40E7-B80A-4C33DA80AE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Management Chapter 08 CO Cash Model ZBA</dc:title>
  <dc:subject/>
  <dc:creator>Weigong  Chao</dc:creator>
  <cp:keywords/>
  <dc:description/>
  <cp:lastModifiedBy>Emiliana Zhivkova</cp:lastModifiedBy>
  <cp:revision/>
  <dcterms:created xsi:type="dcterms:W3CDTF">2001-10-26T16:44:52Z</dcterms:created>
  <dcterms:modified xsi:type="dcterms:W3CDTF">2023-01-04T13:03:03Z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UNDPGBL-552-75</vt:lpwstr>
  </property>
  <property fmtid="{D5CDD505-2E9C-101B-9397-08002B2CF9AE}" pid="3" name="_dlc_DocIdItemGuid">
    <vt:lpwstr>6a302a4d-7ea7-4726-a043-35227a846641</vt:lpwstr>
  </property>
  <property fmtid="{D5CDD505-2E9C-101B-9397-08002B2CF9AE}" pid="4" name="_dlc_DocIdUrl">
    <vt:lpwstr>https://intranet.undp.org/global/documents/_layouts/DocIdRedir.aspx?ID=UNDPGBL-552-75, UNDPGBL-552-75</vt:lpwstr>
  </property>
  <property fmtid="{D5CDD505-2E9C-101B-9397-08002B2CF9AE}" pid="5" name="display_urn:schemas-microsoft-com:office:office#UNDPFocalpoint">
    <vt:lpwstr>Yiping Guo</vt:lpwstr>
  </property>
  <property fmtid="{D5CDD505-2E9C-101B-9397-08002B2CF9AE}" pid="6" name="UNDPPOPPKeywords">
    <vt:lpwstr>595;#Financial Resources Management|8ae7ec9e-733a-4082-a484-4cd9e22ad653;#1136;#Cash Banking and Investment|16dfae23-fde3-4489-ab34-00c19c63fc37;#862;#Cash Management|6fa860b5-ec49-4831-a8da-a825672e1e87</vt:lpwstr>
  </property>
  <property fmtid="{D5CDD505-2E9C-101B-9397-08002B2CF9AE}" pid="7" name="ContentTypeId">
    <vt:lpwstr>0x01010061FF32BFFC2B4E50A3A86F4682D7D367007687F3382310C0489D2A99E053BA6D39</vt:lpwstr>
  </property>
  <property fmtid="{D5CDD505-2E9C-101B-9397-08002B2CF9AE}" pid="8" name="UNDP_POPP_BUSINESSUNIT">
    <vt:lpwstr>350;#Financial Resources Management|682d4c54-a288-412d-bfec-ce5587bbd25c</vt:lpwstr>
  </property>
  <property fmtid="{D5CDD505-2E9C-101B-9397-08002B2CF9AE}" pid="9" name="POPPBusinessProcess">
    <vt:lpwstr/>
  </property>
  <property fmtid="{D5CDD505-2E9C-101B-9397-08002B2CF9AE}" pid="10" name="UNDP_POPP_BUSINESSPROCESS_HIDDEN">
    <vt:lpwstr/>
  </property>
  <property fmtid="{D5CDD505-2E9C-101B-9397-08002B2CF9AE}" pid="11" name="l0e6ef0c43e74560bd7f3acd1f5e8571">
    <vt:lpwstr>Financial Resources Management|682d4c54-a288-412d-bfec-ce5587bbd25c</vt:lpwstr>
  </property>
  <property fmtid="{D5CDD505-2E9C-101B-9397-08002B2CF9AE}" pid="12" name="TaxCatchAll">
    <vt:lpwstr>350;#Financial Resources Management|682d4c54-a288-412d-bfec-ce5587bbd25c</vt:lpwstr>
  </property>
  <property fmtid="{D5CDD505-2E9C-101B-9397-08002B2CF9AE}" pid="13" name="Location">
    <vt:lpwstr>Public</vt:lpwstr>
  </property>
</Properties>
</file>